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908" yWindow="1188" windowWidth="23256" windowHeight="78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Z3" i="1" l="1"/>
  <c r="BD5" i="1" l="1"/>
  <c r="BH6" i="1" l="1"/>
  <c r="BH5" i="1"/>
  <c r="BH7" i="1" l="1"/>
  <c r="BH8" i="1"/>
  <c r="AZ2" i="1" l="1"/>
  <c r="AX7" i="1"/>
  <c r="AG2" i="1"/>
  <c r="AG3" i="1" s="1"/>
  <c r="V6" i="1" l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Y5" i="1"/>
  <c r="X9" i="1"/>
  <c r="W5" i="1"/>
  <c r="Z5" i="1"/>
  <c r="AT5" i="1"/>
  <c r="W8" i="1" l="1"/>
  <c r="W6" i="1"/>
  <c r="BU4" i="1"/>
  <c r="W7" i="1" l="1"/>
  <c r="AY2" i="1"/>
  <c r="J12" i="1" l="1"/>
  <c r="J11" i="1"/>
  <c r="J10" i="1"/>
  <c r="J9" i="1"/>
  <c r="J8" i="1"/>
  <c r="J7" i="1"/>
  <c r="J6" i="1"/>
  <c r="J5" i="1"/>
  <c r="J2" i="1"/>
  <c r="W9" i="1" l="1"/>
  <c r="BQ40" i="1"/>
  <c r="W10" i="1" l="1"/>
  <c r="AR6" i="1"/>
  <c r="W11" i="1" l="1"/>
  <c r="F6" i="1"/>
  <c r="F7" i="1" s="1"/>
  <c r="F8" i="1" s="1"/>
  <c r="W12" i="1" l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AT40" i="1" s="1"/>
  <c r="AT8" i="1"/>
  <c r="E7" i="1"/>
  <c r="E6" i="1"/>
  <c r="AT6" i="1"/>
  <c r="AT7" i="1"/>
  <c r="H17" i="1"/>
  <c r="H16" i="1"/>
  <c r="H15" i="1"/>
  <c r="H14" i="1"/>
  <c r="H13" i="1"/>
  <c r="H12" i="1"/>
  <c r="H11" i="1"/>
  <c r="H10" i="1"/>
  <c r="H18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S5" i="1"/>
  <c r="T5" i="1" s="1"/>
  <c r="W13" i="1" l="1"/>
  <c r="E9" i="1"/>
  <c r="S6" i="1"/>
  <c r="S7" i="1" s="1"/>
  <c r="T7" i="1" s="1"/>
  <c r="AT14" i="1"/>
  <c r="AT11" i="1"/>
  <c r="AT9" i="1"/>
  <c r="E8" i="1"/>
  <c r="AT10" i="1"/>
  <c r="AT20" i="1"/>
  <c r="AT15" i="1"/>
  <c r="AT17" i="1"/>
  <c r="AT19" i="1"/>
  <c r="AT18" i="1"/>
  <c r="AT25" i="1"/>
  <c r="AT12" i="1"/>
  <c r="AT35" i="1"/>
  <c r="AT31" i="1"/>
  <c r="AT30" i="1"/>
  <c r="AT37" i="1"/>
  <c r="AT21" i="1"/>
  <c r="AT36" i="1"/>
  <c r="AT16" i="1"/>
  <c r="AT27" i="1"/>
  <c r="AT26" i="1"/>
  <c r="AT33" i="1"/>
  <c r="AT28" i="1"/>
  <c r="AT34" i="1"/>
  <c r="AT32" i="1"/>
  <c r="AT39" i="1"/>
  <c r="AT23" i="1"/>
  <c r="AT22" i="1"/>
  <c r="AT38" i="1"/>
  <c r="AT29" i="1"/>
  <c r="AT13" i="1"/>
  <c r="AT24" i="1"/>
  <c r="X5" i="1"/>
  <c r="BQ4" i="1"/>
  <c r="Z6" i="1"/>
  <c r="W14" i="1" l="1"/>
  <c r="T6" i="1"/>
  <c r="S8" i="1"/>
  <c r="T8" i="1" s="1"/>
  <c r="W15" i="1" l="1"/>
  <c r="S9" i="1"/>
  <c r="T9" i="1" s="1"/>
  <c r="W16" i="1" l="1"/>
  <c r="S10" i="1"/>
  <c r="T10" i="1" s="1"/>
  <c r="AI6" i="1"/>
  <c r="BJ6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A5" i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C1" i="1"/>
  <c r="W17" i="1" l="1"/>
  <c r="S11" i="1"/>
  <c r="T11" i="1" s="1"/>
  <c r="AI7" i="1"/>
  <c r="BJ7" i="1" s="1"/>
  <c r="Y6" i="1"/>
  <c r="BQ5" i="1" s="1"/>
  <c r="X6" i="1"/>
  <c r="AF1" i="1"/>
  <c r="W18" i="1" l="1"/>
  <c r="S12" i="1"/>
  <c r="T12" i="1" s="1"/>
  <c r="AI8" i="1"/>
  <c r="BJ8" i="1" s="1"/>
  <c r="X7" i="1"/>
  <c r="W19" i="1" l="1"/>
  <c r="S13" i="1"/>
  <c r="T13" i="1" s="1"/>
  <c r="AI9" i="1"/>
  <c r="BJ9" i="1" s="1"/>
  <c r="X8" i="1"/>
  <c r="AJ5" i="1"/>
  <c r="AX5" i="1" s="1"/>
  <c r="W20" i="1" l="1"/>
  <c r="S14" i="1"/>
  <c r="T14" i="1" s="1"/>
  <c r="AI10" i="1"/>
  <c r="BJ10" i="1" s="1"/>
  <c r="Y9" i="1"/>
  <c r="AU5" i="1"/>
  <c r="AQ5" i="1"/>
  <c r="BA5" i="1" s="1"/>
  <c r="AN5" i="1"/>
  <c r="BC5" i="1" s="1"/>
  <c r="AK5" i="1"/>
  <c r="W21" i="1" l="1"/>
  <c r="S15" i="1"/>
  <c r="T15" i="1" s="1"/>
  <c r="A5" i="1"/>
  <c r="AI11" i="1"/>
  <c r="BJ11" i="1" s="1"/>
  <c r="Y10" i="1"/>
  <c r="X10" i="1"/>
  <c r="AR7" i="1"/>
  <c r="AJ6" i="1"/>
  <c r="AX6" i="1" s="1"/>
  <c r="AF5" i="1"/>
  <c r="W22" i="1" l="1"/>
  <c r="S16" i="1"/>
  <c r="T16" i="1" s="1"/>
  <c r="B5" i="1"/>
  <c r="D5" i="1"/>
  <c r="AD5" i="1"/>
  <c r="BL5" i="1" s="1"/>
  <c r="E10" i="1" s="1"/>
  <c r="BE5" i="1"/>
  <c r="S17" i="1"/>
  <c r="T17" i="1" s="1"/>
  <c r="AI12" i="1"/>
  <c r="BJ12" i="1" s="1"/>
  <c r="Y11" i="1"/>
  <c r="X11" i="1"/>
  <c r="AR8" i="1"/>
  <c r="AJ7" i="1"/>
  <c r="AP5" i="1"/>
  <c r="C6" i="1" l="1"/>
  <c r="W23" i="1"/>
  <c r="S18" i="1"/>
  <c r="T18" i="1" s="1"/>
  <c r="AI13" i="1"/>
  <c r="BJ13" i="1" s="1"/>
  <c r="Y12" i="1"/>
  <c r="X12" i="1"/>
  <c r="AC5" i="1"/>
  <c r="BN5" i="1"/>
  <c r="AR9" i="1"/>
  <c r="AJ8" i="1"/>
  <c r="AL5" i="1"/>
  <c r="BB5" i="1" s="1"/>
  <c r="AM5" i="1"/>
  <c r="AQ6" i="1"/>
  <c r="BA6" i="1" s="1"/>
  <c r="AO5" i="1"/>
  <c r="AN6" i="1"/>
  <c r="AK6" i="1"/>
  <c r="BG5" i="1" l="1"/>
  <c r="W24" i="1"/>
  <c r="AE5" i="1"/>
  <c r="S19" i="1"/>
  <c r="T19" i="1" s="1"/>
  <c r="AI14" i="1"/>
  <c r="BJ14" i="1" s="1"/>
  <c r="X13" i="1"/>
  <c r="Y13" i="1"/>
  <c r="AM6" i="1"/>
  <c r="AR10" i="1"/>
  <c r="AJ9" i="1"/>
  <c r="AH5" i="1"/>
  <c r="AQ7" i="1"/>
  <c r="BA7" i="1" s="1"/>
  <c r="AL6" i="1"/>
  <c r="AP6" i="1"/>
  <c r="AO6" i="1"/>
  <c r="BD6" i="1" s="1"/>
  <c r="AN7" i="1"/>
  <c r="AK7" i="1"/>
  <c r="AS6" i="1"/>
  <c r="AZ5" i="1" l="1"/>
  <c r="BC6" i="1"/>
  <c r="BB6" i="1"/>
  <c r="W25" i="1"/>
  <c r="AE6" i="1"/>
  <c r="S20" i="1"/>
  <c r="T20" i="1" s="1"/>
  <c r="Z7" i="1"/>
  <c r="Y7" i="1"/>
  <c r="AI15" i="1"/>
  <c r="BJ15" i="1" s="1"/>
  <c r="X14" i="1"/>
  <c r="Y14" i="1"/>
  <c r="AR11" i="1"/>
  <c r="AJ10" i="1"/>
  <c r="AQ8" i="1"/>
  <c r="BA8" i="1" s="1"/>
  <c r="AH6" i="1"/>
  <c r="AO7" i="1"/>
  <c r="BD7" i="1" s="1"/>
  <c r="AP7" i="1"/>
  <c r="AM7" i="1"/>
  <c r="AL7" i="1"/>
  <c r="AN8" i="1"/>
  <c r="AK8" i="1"/>
  <c r="AS7" i="1"/>
  <c r="BC7" i="1" l="1"/>
  <c r="BI5" i="1"/>
  <c r="BS4" i="1" s="1"/>
  <c r="BB7" i="1"/>
  <c r="W26" i="1"/>
  <c r="K5" i="1"/>
  <c r="N5" i="1" s="1"/>
  <c r="AZ6" i="1"/>
  <c r="K6" i="1" s="1"/>
  <c r="M6" i="1" s="1"/>
  <c r="Z8" i="1"/>
  <c r="Y8" i="1"/>
  <c r="BQ6" i="1"/>
  <c r="AE7" i="1"/>
  <c r="S21" i="1"/>
  <c r="T21" i="1" s="1"/>
  <c r="AI16" i="1"/>
  <c r="BJ16" i="1" s="1"/>
  <c r="X15" i="1"/>
  <c r="Y15" i="1"/>
  <c r="AR12" i="1"/>
  <c r="AJ12" i="1" s="1"/>
  <c r="AJ11" i="1"/>
  <c r="AH7" i="1"/>
  <c r="AQ9" i="1"/>
  <c r="AP8" i="1"/>
  <c r="AO8" i="1"/>
  <c r="BD8" i="1" s="1"/>
  <c r="AL8" i="1"/>
  <c r="AM8" i="1"/>
  <c r="AK9" i="1"/>
  <c r="AN9" i="1"/>
  <c r="AS8" i="1"/>
  <c r="Z9" i="1" s="1"/>
  <c r="BQ8" i="1" s="1"/>
  <c r="AF6" i="1"/>
  <c r="BE6" i="1" s="1"/>
  <c r="C7" i="1" s="1"/>
  <c r="BA9" i="1" l="1"/>
  <c r="AQ10" i="1"/>
  <c r="BC8" i="1"/>
  <c r="AZ7" i="1"/>
  <c r="K7" i="1" s="1"/>
  <c r="N7" i="1" s="1"/>
  <c r="BB8" i="1"/>
  <c r="W27" i="1"/>
  <c r="P5" i="1"/>
  <c r="O5" i="1"/>
  <c r="M5" i="1"/>
  <c r="Q5" i="1"/>
  <c r="AU6" i="1"/>
  <c r="BU5" i="1" s="1"/>
  <c r="BQ7" i="1"/>
  <c r="AE8" i="1"/>
  <c r="P6" i="1"/>
  <c r="N6" i="1"/>
  <c r="O6" i="1"/>
  <c r="Q6" i="1"/>
  <c r="S22" i="1"/>
  <c r="T22" i="1" s="1"/>
  <c r="AI17" i="1"/>
  <c r="BJ17" i="1" s="1"/>
  <c r="X16" i="1"/>
  <c r="Y16" i="1"/>
  <c r="AX8" i="1"/>
  <c r="BG6" i="1"/>
  <c r="AD6" i="1"/>
  <c r="AR13" i="1"/>
  <c r="BA10" i="1"/>
  <c r="AH8" i="1"/>
  <c r="AL9" i="1"/>
  <c r="AM9" i="1"/>
  <c r="AP9" i="1"/>
  <c r="AO9" i="1"/>
  <c r="BD9" i="1" s="1"/>
  <c r="AN10" i="1"/>
  <c r="AK10" i="1"/>
  <c r="AF7" i="1"/>
  <c r="AS9" i="1"/>
  <c r="Z10" i="1" s="1"/>
  <c r="BC9" i="1" l="1"/>
  <c r="BB9" i="1"/>
  <c r="BQ9" i="1"/>
  <c r="W28" i="1"/>
  <c r="R5" i="1"/>
  <c r="L5" i="1" s="1"/>
  <c r="BF5" i="1" s="1"/>
  <c r="A6" i="1"/>
  <c r="B6" i="1" s="1"/>
  <c r="D6" i="1" s="1"/>
  <c r="AE9" i="1"/>
  <c r="M7" i="1"/>
  <c r="R6" i="1"/>
  <c r="L6" i="1" s="1"/>
  <c r="BF6" i="1" s="1"/>
  <c r="Q7" i="1"/>
  <c r="P7" i="1"/>
  <c r="AZ8" i="1"/>
  <c r="K8" i="1" s="1"/>
  <c r="Q8" i="1" s="1"/>
  <c r="O7" i="1"/>
  <c r="BK6" i="1"/>
  <c r="S23" i="1"/>
  <c r="T23" i="1" s="1"/>
  <c r="AI18" i="1"/>
  <c r="BJ18" i="1" s="1"/>
  <c r="Y17" i="1"/>
  <c r="X17" i="1"/>
  <c r="AD7" i="1"/>
  <c r="BL6" i="1"/>
  <c r="E11" i="1" s="1"/>
  <c r="AX9" i="1"/>
  <c r="BH9" i="1"/>
  <c r="AR14" i="1"/>
  <c r="AJ13" i="1"/>
  <c r="AQ11" i="1"/>
  <c r="BA11" i="1" s="1"/>
  <c r="AH9" i="1"/>
  <c r="AO10" i="1"/>
  <c r="AP10" i="1"/>
  <c r="AM10" i="1"/>
  <c r="AL10" i="1"/>
  <c r="AK11" i="1"/>
  <c r="AN11" i="1"/>
  <c r="BE7" i="1"/>
  <c r="C8" i="1" s="1"/>
  <c r="AF8" i="1"/>
  <c r="AS10" i="1"/>
  <c r="Z11" i="1" s="1"/>
  <c r="BQ10" i="1" s="1"/>
  <c r="BC10" i="1" l="1"/>
  <c r="BB10" i="1"/>
  <c r="W29" i="1"/>
  <c r="AZ9" i="1"/>
  <c r="K9" i="1" s="1"/>
  <c r="BD10" i="1"/>
  <c r="AE10" i="1"/>
  <c r="M8" i="1"/>
  <c r="O8" i="1"/>
  <c r="BI6" i="1"/>
  <c r="R7" i="1"/>
  <c r="L7" i="1" s="1"/>
  <c r="BF7" i="1" s="1"/>
  <c r="P8" i="1"/>
  <c r="N8" i="1"/>
  <c r="BN6" i="1"/>
  <c r="S24" i="1"/>
  <c r="T24" i="1" s="1"/>
  <c r="AI19" i="1"/>
  <c r="BJ19" i="1" s="1"/>
  <c r="Y18" i="1"/>
  <c r="X18" i="1"/>
  <c r="AC6" i="1"/>
  <c r="AW6" i="1" s="1"/>
  <c r="AD8" i="1"/>
  <c r="AX10" i="1"/>
  <c r="BH10" i="1"/>
  <c r="BG7" i="1"/>
  <c r="AR15" i="1"/>
  <c r="AJ14" i="1"/>
  <c r="AQ12" i="1"/>
  <c r="BA12" i="1" s="1"/>
  <c r="AH10" i="1"/>
  <c r="AM11" i="1"/>
  <c r="AL11" i="1"/>
  <c r="AO11" i="1"/>
  <c r="AP11" i="1"/>
  <c r="AK12" i="1"/>
  <c r="AN12" i="1"/>
  <c r="BE8" i="1"/>
  <c r="C9" i="1" s="1"/>
  <c r="AF9" i="1"/>
  <c r="AD9" i="1" s="1"/>
  <c r="AS11" i="1"/>
  <c r="Z12" i="1" s="1"/>
  <c r="BQ11" i="1" s="1"/>
  <c r="BC11" i="1" l="1"/>
  <c r="BB11" i="1"/>
  <c r="AZ10" i="1"/>
  <c r="K10" i="1" s="1"/>
  <c r="Q10" i="1" s="1"/>
  <c r="W30" i="1"/>
  <c r="AU7" i="1"/>
  <c r="BU6" i="1" s="1"/>
  <c r="BS5" i="1"/>
  <c r="BG8" i="1"/>
  <c r="BD11" i="1"/>
  <c r="AE11" i="1"/>
  <c r="R8" i="1"/>
  <c r="L8" i="1" s="1"/>
  <c r="BF8" i="1" s="1"/>
  <c r="BI7" i="1"/>
  <c r="N9" i="1"/>
  <c r="O9" i="1"/>
  <c r="M9" i="1"/>
  <c r="P9" i="1"/>
  <c r="Q9" i="1"/>
  <c r="S25" i="1"/>
  <c r="T25" i="1" s="1"/>
  <c r="AI20" i="1"/>
  <c r="BJ20" i="1" s="1"/>
  <c r="X19" i="1"/>
  <c r="Y19" i="1"/>
  <c r="AX11" i="1"/>
  <c r="BH11" i="1"/>
  <c r="AR16" i="1"/>
  <c r="AJ15" i="1"/>
  <c r="AQ13" i="1"/>
  <c r="BA13" i="1" s="1"/>
  <c r="AH11" i="1"/>
  <c r="AL12" i="1"/>
  <c r="AM12" i="1"/>
  <c r="AP12" i="1"/>
  <c r="AO12" i="1"/>
  <c r="AK13" i="1"/>
  <c r="AN13" i="1"/>
  <c r="BE9" i="1"/>
  <c r="C10" i="1" s="1"/>
  <c r="AF10" i="1"/>
  <c r="AD10" i="1" s="1"/>
  <c r="AS12" i="1"/>
  <c r="Z13" i="1" s="1"/>
  <c r="BQ12" i="1" s="1"/>
  <c r="BC12" i="1" l="1"/>
  <c r="BB12" i="1"/>
  <c r="W31" i="1"/>
  <c r="A7" i="1"/>
  <c r="B7" i="1" s="1"/>
  <c r="D7" i="1" s="1"/>
  <c r="BL7" i="1"/>
  <c r="AC7" i="1" s="1"/>
  <c r="AW7" i="1" s="1"/>
  <c r="BK7" i="1"/>
  <c r="AU8" i="1"/>
  <c r="BU7" i="1" s="1"/>
  <c r="BS6" i="1"/>
  <c r="BD12" i="1"/>
  <c r="AZ11" i="1"/>
  <c r="K11" i="1" s="1"/>
  <c r="AE12" i="1"/>
  <c r="BI8" i="1"/>
  <c r="M10" i="1"/>
  <c r="P10" i="1"/>
  <c r="O10" i="1"/>
  <c r="N10" i="1"/>
  <c r="R9" i="1"/>
  <c r="L9" i="1" s="1"/>
  <c r="BF9" i="1" s="1"/>
  <c r="S26" i="1"/>
  <c r="T26" i="1" s="1"/>
  <c r="AI21" i="1"/>
  <c r="BJ21" i="1" s="1"/>
  <c r="Y20" i="1"/>
  <c r="X20" i="1"/>
  <c r="AX12" i="1"/>
  <c r="BH12" i="1"/>
  <c r="BG9" i="1"/>
  <c r="AR17" i="1"/>
  <c r="AJ16" i="1"/>
  <c r="AQ14" i="1"/>
  <c r="BA14" i="1" s="1"/>
  <c r="AH12" i="1"/>
  <c r="AL13" i="1"/>
  <c r="AM13" i="1"/>
  <c r="AP13" i="1"/>
  <c r="AO13" i="1"/>
  <c r="AK14" i="1"/>
  <c r="AN14" i="1"/>
  <c r="BE10" i="1"/>
  <c r="C11" i="1" s="1"/>
  <c r="AF11" i="1"/>
  <c r="AS13" i="1"/>
  <c r="Z14" i="1" s="1"/>
  <c r="BQ13" i="1" s="1"/>
  <c r="BC13" i="1" l="1"/>
  <c r="BB13" i="1"/>
  <c r="W32" i="1"/>
  <c r="BN7" i="1"/>
  <c r="E12" i="1"/>
  <c r="AU9" i="1"/>
  <c r="BU8" i="1" s="1"/>
  <c r="A8" i="1"/>
  <c r="B8" i="1" s="1"/>
  <c r="D8" i="1" s="1"/>
  <c r="BS7" i="1"/>
  <c r="BD13" i="1"/>
  <c r="AZ12" i="1"/>
  <c r="K12" i="1" s="1"/>
  <c r="AE13" i="1"/>
  <c r="R10" i="1"/>
  <c r="L10" i="1" s="1"/>
  <c r="BF10" i="1" s="1"/>
  <c r="BI9" i="1"/>
  <c r="P11" i="1"/>
  <c r="O11" i="1"/>
  <c r="Q11" i="1"/>
  <c r="M11" i="1"/>
  <c r="N11" i="1"/>
  <c r="I13" i="1"/>
  <c r="BK8" i="1"/>
  <c r="BL8" i="1"/>
  <c r="E13" i="1" s="1"/>
  <c r="S27" i="1"/>
  <c r="T27" i="1" s="1"/>
  <c r="AI22" i="1"/>
  <c r="BJ22" i="1" s="1"/>
  <c r="X21" i="1"/>
  <c r="Y21" i="1"/>
  <c r="AD11" i="1"/>
  <c r="AX13" i="1"/>
  <c r="BH13" i="1"/>
  <c r="BG10" i="1"/>
  <c r="AR18" i="1"/>
  <c r="AJ17" i="1"/>
  <c r="AQ15" i="1"/>
  <c r="BA15" i="1" s="1"/>
  <c r="AH13" i="1"/>
  <c r="AM14" i="1"/>
  <c r="AL14" i="1"/>
  <c r="AO14" i="1"/>
  <c r="BC14" i="1" s="1"/>
  <c r="AP14" i="1"/>
  <c r="AK15" i="1"/>
  <c r="AN15" i="1"/>
  <c r="BE11" i="1"/>
  <c r="C12" i="1" s="1"/>
  <c r="AF12" i="1"/>
  <c r="AS14" i="1"/>
  <c r="Z15" i="1" s="1"/>
  <c r="BQ14" i="1" s="1"/>
  <c r="BB14" i="1" l="1"/>
  <c r="W33" i="1"/>
  <c r="A9" i="1"/>
  <c r="B9" i="1" s="1"/>
  <c r="D9" i="1" s="1"/>
  <c r="AU10" i="1"/>
  <c r="BS8" i="1"/>
  <c r="BD14" i="1"/>
  <c r="AE14" i="1"/>
  <c r="BN8" i="1"/>
  <c r="AZ13" i="1"/>
  <c r="N12" i="1"/>
  <c r="M12" i="1"/>
  <c r="Q12" i="1"/>
  <c r="O12" i="1"/>
  <c r="P12" i="1"/>
  <c r="R11" i="1"/>
  <c r="L11" i="1" s="1"/>
  <c r="BF11" i="1" s="1"/>
  <c r="BI10" i="1"/>
  <c r="I14" i="1"/>
  <c r="BK9" i="1"/>
  <c r="BL9" i="1"/>
  <c r="E14" i="1" s="1"/>
  <c r="AC8" i="1"/>
  <c r="AW8" i="1" s="1"/>
  <c r="S28" i="1"/>
  <c r="T28" i="1" s="1"/>
  <c r="AI23" i="1"/>
  <c r="BJ23" i="1" s="1"/>
  <c r="X22" i="1"/>
  <c r="Y22" i="1"/>
  <c r="AD12" i="1"/>
  <c r="AX14" i="1"/>
  <c r="BH14" i="1"/>
  <c r="BG11" i="1"/>
  <c r="AR19" i="1"/>
  <c r="AJ18" i="1"/>
  <c r="AQ16" i="1"/>
  <c r="BA16" i="1" s="1"/>
  <c r="AH14" i="1"/>
  <c r="AM15" i="1"/>
  <c r="AL15" i="1"/>
  <c r="AO15" i="1"/>
  <c r="BC15" i="1" s="1"/>
  <c r="AP15" i="1"/>
  <c r="AK16" i="1"/>
  <c r="AN16" i="1"/>
  <c r="BE12" i="1"/>
  <c r="C13" i="1" s="1"/>
  <c r="AF13" i="1"/>
  <c r="AD13" i="1" s="1"/>
  <c r="AS15" i="1"/>
  <c r="Z16" i="1" s="1"/>
  <c r="BQ15" i="1" s="1"/>
  <c r="BB15" i="1" l="1"/>
  <c r="W34" i="1"/>
  <c r="A10" i="1"/>
  <c r="B10" i="1" s="1"/>
  <c r="D10" i="1" s="1"/>
  <c r="BU9" i="1"/>
  <c r="AU11" i="1"/>
  <c r="BU10" i="1" s="1"/>
  <c r="BS9" i="1"/>
  <c r="BD15" i="1"/>
  <c r="AE15" i="1"/>
  <c r="AZ14" i="1"/>
  <c r="R12" i="1"/>
  <c r="L12" i="1" s="1"/>
  <c r="BF12" i="1" s="1"/>
  <c r="BI11" i="1"/>
  <c r="I15" i="1"/>
  <c r="BK10" i="1"/>
  <c r="BN9" i="1"/>
  <c r="AC9" i="1"/>
  <c r="AW9" i="1" s="1"/>
  <c r="S29" i="1"/>
  <c r="T29" i="1" s="1"/>
  <c r="AI24" i="1"/>
  <c r="BJ24" i="1" s="1"/>
  <c r="Y23" i="1"/>
  <c r="X23" i="1"/>
  <c r="BL10" i="1"/>
  <c r="AX15" i="1"/>
  <c r="BH15" i="1"/>
  <c r="BG12" i="1"/>
  <c r="AR20" i="1"/>
  <c r="AJ19" i="1"/>
  <c r="AQ17" i="1"/>
  <c r="BA17" i="1" s="1"/>
  <c r="AH15" i="1"/>
  <c r="AL16" i="1"/>
  <c r="AM16" i="1"/>
  <c r="AP16" i="1"/>
  <c r="AO16" i="1"/>
  <c r="BC16" i="1" s="1"/>
  <c r="AK17" i="1"/>
  <c r="AN17" i="1"/>
  <c r="BE13" i="1"/>
  <c r="C14" i="1" s="1"/>
  <c r="AF14" i="1"/>
  <c r="AD14" i="1" s="1"/>
  <c r="AS16" i="1"/>
  <c r="Z17" i="1" s="1"/>
  <c r="BQ16" i="1" s="1"/>
  <c r="BB16" i="1" l="1"/>
  <c r="W35" i="1"/>
  <c r="A11" i="1"/>
  <c r="B11" i="1" s="1"/>
  <c r="D11" i="1" s="1"/>
  <c r="AU12" i="1"/>
  <c r="BS10" i="1"/>
  <c r="BD16" i="1"/>
  <c r="AE16" i="1"/>
  <c r="BN10" i="1"/>
  <c r="E15" i="1"/>
  <c r="AZ15" i="1"/>
  <c r="BI12" i="1"/>
  <c r="I16" i="1"/>
  <c r="BK11" i="1"/>
  <c r="S30" i="1"/>
  <c r="T30" i="1" s="1"/>
  <c r="AI25" i="1"/>
  <c r="BJ25" i="1" s="1"/>
  <c r="X24" i="1"/>
  <c r="Y24" i="1"/>
  <c r="AC10" i="1"/>
  <c r="AW10" i="1" s="1"/>
  <c r="BL11" i="1"/>
  <c r="AX16" i="1"/>
  <c r="BH16" i="1"/>
  <c r="BG13" i="1"/>
  <c r="AR21" i="1"/>
  <c r="AJ20" i="1"/>
  <c r="AQ18" i="1"/>
  <c r="BA18" i="1" s="1"/>
  <c r="AH16" i="1"/>
  <c r="AP17" i="1"/>
  <c r="AO17" i="1"/>
  <c r="BC17" i="1" s="1"/>
  <c r="AL17" i="1"/>
  <c r="AM17" i="1"/>
  <c r="AK18" i="1"/>
  <c r="AN18" i="1"/>
  <c r="BE14" i="1"/>
  <c r="C15" i="1" s="1"/>
  <c r="AF15" i="1"/>
  <c r="AS17" i="1"/>
  <c r="Z18" i="1" s="1"/>
  <c r="BQ17" i="1" s="1"/>
  <c r="BB17" i="1" l="1"/>
  <c r="W36" i="1"/>
  <c r="A12" i="1"/>
  <c r="B12" i="1" s="1"/>
  <c r="D12" i="1" s="1"/>
  <c r="BU11" i="1"/>
  <c r="AU13" i="1"/>
  <c r="BU12" i="1" s="1"/>
  <c r="BS11" i="1"/>
  <c r="BD17" i="1"/>
  <c r="AE17" i="1"/>
  <c r="BN11" i="1"/>
  <c r="E16" i="1"/>
  <c r="AZ16" i="1"/>
  <c r="I17" i="1"/>
  <c r="S31" i="1"/>
  <c r="T31" i="1" s="1"/>
  <c r="AI26" i="1"/>
  <c r="BJ26" i="1" s="1"/>
  <c r="Y25" i="1"/>
  <c r="X25" i="1"/>
  <c r="AC11" i="1"/>
  <c r="AW11" i="1" s="1"/>
  <c r="BK12" i="1"/>
  <c r="BL12" i="1"/>
  <c r="AD15" i="1"/>
  <c r="AX17" i="1"/>
  <c r="BH17" i="1"/>
  <c r="BG14" i="1"/>
  <c r="AR22" i="1"/>
  <c r="AJ21" i="1"/>
  <c r="AQ19" i="1"/>
  <c r="BA19" i="1" s="1"/>
  <c r="AH17" i="1"/>
  <c r="AM18" i="1"/>
  <c r="AL18" i="1"/>
  <c r="AO18" i="1"/>
  <c r="BC18" i="1" s="1"/>
  <c r="AP18" i="1"/>
  <c r="AK19" i="1"/>
  <c r="AN19" i="1"/>
  <c r="BE15" i="1"/>
  <c r="C16" i="1" s="1"/>
  <c r="AF16" i="1"/>
  <c r="AS18" i="1"/>
  <c r="Z19" i="1" s="1"/>
  <c r="BQ18" i="1" s="1"/>
  <c r="BB18" i="1" l="1"/>
  <c r="W37" i="1"/>
  <c r="A13" i="1"/>
  <c r="B13" i="1" s="1"/>
  <c r="D13" i="1" s="1"/>
  <c r="J13" i="1" s="1"/>
  <c r="K13" i="1" s="1"/>
  <c r="P13" i="1" s="1"/>
  <c r="BD18" i="1"/>
  <c r="AE18" i="1"/>
  <c r="BN12" i="1"/>
  <c r="E17" i="1"/>
  <c r="AZ17" i="1"/>
  <c r="I18" i="1"/>
  <c r="BK13" i="1"/>
  <c r="S32" i="1"/>
  <c r="T32" i="1" s="1"/>
  <c r="AI27" i="1"/>
  <c r="BJ27" i="1" s="1"/>
  <c r="Y26" i="1"/>
  <c r="X26" i="1"/>
  <c r="AC12" i="1"/>
  <c r="AW12" i="1" s="1"/>
  <c r="BL13" i="1"/>
  <c r="AD16" i="1"/>
  <c r="AX18" i="1"/>
  <c r="BH18" i="1"/>
  <c r="BG15" i="1"/>
  <c r="AR23" i="1"/>
  <c r="AJ22" i="1"/>
  <c r="AQ20" i="1"/>
  <c r="BA20" i="1" s="1"/>
  <c r="AH18" i="1"/>
  <c r="AM19" i="1"/>
  <c r="AL19" i="1"/>
  <c r="AO19" i="1"/>
  <c r="BC19" i="1" s="1"/>
  <c r="AP19" i="1"/>
  <c r="AK20" i="1"/>
  <c r="AN20" i="1"/>
  <c r="BE16" i="1"/>
  <c r="C17" i="1" s="1"/>
  <c r="AF17" i="1"/>
  <c r="AD17" i="1" s="1"/>
  <c r="AS19" i="1"/>
  <c r="Z20" i="1" s="1"/>
  <c r="BQ19" i="1" s="1"/>
  <c r="BB19" i="1" l="1"/>
  <c r="W38" i="1"/>
  <c r="N13" i="1"/>
  <c r="O13" i="1"/>
  <c r="Q13" i="1"/>
  <c r="M13" i="1"/>
  <c r="BD19" i="1"/>
  <c r="AE19" i="1"/>
  <c r="BN13" i="1"/>
  <c r="E18" i="1"/>
  <c r="AZ18" i="1"/>
  <c r="I19" i="1"/>
  <c r="S33" i="1"/>
  <c r="T33" i="1" s="1"/>
  <c r="AI28" i="1"/>
  <c r="BJ28" i="1" s="1"/>
  <c r="Y27" i="1"/>
  <c r="X27" i="1"/>
  <c r="AC13" i="1"/>
  <c r="AW13" i="1" s="1"/>
  <c r="AX19" i="1"/>
  <c r="BH19" i="1"/>
  <c r="BG16" i="1"/>
  <c r="AR24" i="1"/>
  <c r="AJ23" i="1"/>
  <c r="AQ21" i="1"/>
  <c r="BA21" i="1" s="1"/>
  <c r="AH19" i="1"/>
  <c r="AL20" i="1"/>
  <c r="AM20" i="1"/>
  <c r="AP20" i="1"/>
  <c r="AO20" i="1"/>
  <c r="BC20" i="1" s="1"/>
  <c r="AK21" i="1"/>
  <c r="AN21" i="1"/>
  <c r="BE17" i="1"/>
  <c r="C18" i="1" s="1"/>
  <c r="AF18" i="1"/>
  <c r="AD18" i="1" s="1"/>
  <c r="AS20" i="1"/>
  <c r="Z21" i="1" s="1"/>
  <c r="BQ20" i="1" s="1"/>
  <c r="BB20" i="1" l="1"/>
  <c r="W39" i="1"/>
  <c r="W40" i="1"/>
  <c r="R13" i="1"/>
  <c r="L13" i="1" s="1"/>
  <c r="BI13" i="1" s="1"/>
  <c r="AU14" i="1" s="1"/>
  <c r="BD20" i="1"/>
  <c r="AE20" i="1"/>
  <c r="AZ19" i="1"/>
  <c r="I20" i="1"/>
  <c r="S34" i="1"/>
  <c r="T34" i="1" s="1"/>
  <c r="AI29" i="1"/>
  <c r="BJ29" i="1" s="1"/>
  <c r="Y28" i="1"/>
  <c r="X28" i="1"/>
  <c r="AX20" i="1"/>
  <c r="BH20" i="1"/>
  <c r="BG17" i="1"/>
  <c r="AR25" i="1"/>
  <c r="AJ24" i="1"/>
  <c r="AQ22" i="1"/>
  <c r="BA22" i="1" s="1"/>
  <c r="AH20" i="1"/>
  <c r="AL21" i="1"/>
  <c r="AM21" i="1"/>
  <c r="AP21" i="1"/>
  <c r="AO21" i="1"/>
  <c r="BC21" i="1" s="1"/>
  <c r="AK22" i="1"/>
  <c r="AN22" i="1"/>
  <c r="BE18" i="1"/>
  <c r="C19" i="1" s="1"/>
  <c r="AF19" i="1"/>
  <c r="AS21" i="1"/>
  <c r="Z22" i="1" s="1"/>
  <c r="BQ21" i="1" s="1"/>
  <c r="BB21" i="1" l="1"/>
  <c r="BL14" i="1"/>
  <c r="BN14" i="1" s="1"/>
  <c r="A14" i="1"/>
  <c r="B14" i="1" s="1"/>
  <c r="D14" i="1" s="1"/>
  <c r="J14" i="1" s="1"/>
  <c r="K14" i="1" s="1"/>
  <c r="Q14" i="1" s="1"/>
  <c r="BF13" i="1"/>
  <c r="BS12" i="1"/>
  <c r="BK14" i="1"/>
  <c r="BU13" i="1"/>
  <c r="BD21" i="1"/>
  <c r="AE21" i="1"/>
  <c r="AZ20" i="1"/>
  <c r="I21" i="1"/>
  <c r="S35" i="1"/>
  <c r="T35" i="1" s="1"/>
  <c r="AI30" i="1"/>
  <c r="BJ30" i="1" s="1"/>
  <c r="X29" i="1"/>
  <c r="Y29" i="1"/>
  <c r="AD19" i="1"/>
  <c r="AX21" i="1"/>
  <c r="BH21" i="1"/>
  <c r="BG18" i="1"/>
  <c r="AR26" i="1"/>
  <c r="AJ25" i="1"/>
  <c r="AQ23" i="1"/>
  <c r="BA23" i="1" s="1"/>
  <c r="AH21" i="1"/>
  <c r="AM22" i="1"/>
  <c r="AL22" i="1"/>
  <c r="AO22" i="1"/>
  <c r="BC22" i="1" s="1"/>
  <c r="AP22" i="1"/>
  <c r="AK23" i="1"/>
  <c r="AN23" i="1"/>
  <c r="BE19" i="1"/>
  <c r="C20" i="1" s="1"/>
  <c r="AF20" i="1"/>
  <c r="AS22" i="1"/>
  <c r="Z23" i="1" s="1"/>
  <c r="BQ22" i="1" s="1"/>
  <c r="BB22" i="1" l="1"/>
  <c r="N14" i="1"/>
  <c r="P14" i="1"/>
  <c r="O14" i="1"/>
  <c r="M14" i="1"/>
  <c r="E19" i="1"/>
  <c r="AC14" i="1"/>
  <c r="AW14" i="1" s="1"/>
  <c r="BD22" i="1"/>
  <c r="AE22" i="1"/>
  <c r="AZ21" i="1"/>
  <c r="I22" i="1"/>
  <c r="S36" i="1"/>
  <c r="T36" i="1" s="1"/>
  <c r="AI31" i="1"/>
  <c r="BJ31" i="1" s="1"/>
  <c r="X30" i="1"/>
  <c r="Y30" i="1"/>
  <c r="AD20" i="1"/>
  <c r="AX22" i="1"/>
  <c r="BH22" i="1"/>
  <c r="BG19" i="1"/>
  <c r="AR27" i="1"/>
  <c r="AJ26" i="1"/>
  <c r="AQ24" i="1"/>
  <c r="BA24" i="1" s="1"/>
  <c r="AH22" i="1"/>
  <c r="AM23" i="1"/>
  <c r="AL23" i="1"/>
  <c r="AO23" i="1"/>
  <c r="BC23" i="1" s="1"/>
  <c r="AP23" i="1"/>
  <c r="AK24" i="1"/>
  <c r="AN24" i="1"/>
  <c r="BE20" i="1"/>
  <c r="C21" i="1" s="1"/>
  <c r="AF21" i="1"/>
  <c r="AD21" i="1" s="1"/>
  <c r="AS23" i="1"/>
  <c r="Z24" i="1" s="1"/>
  <c r="BQ23" i="1" s="1"/>
  <c r="BB23" i="1" l="1"/>
  <c r="R14" i="1"/>
  <c r="L14" i="1" s="1"/>
  <c r="BF14" i="1" s="1"/>
  <c r="BD23" i="1"/>
  <c r="AE23" i="1"/>
  <c r="AZ22" i="1"/>
  <c r="I23" i="1"/>
  <c r="S37" i="1"/>
  <c r="T37" i="1" s="1"/>
  <c r="AI32" i="1"/>
  <c r="BJ32" i="1" s="1"/>
  <c r="X31" i="1"/>
  <c r="Y31" i="1"/>
  <c r="AX23" i="1"/>
  <c r="BH23" i="1"/>
  <c r="BG20" i="1"/>
  <c r="AR28" i="1"/>
  <c r="AJ27" i="1"/>
  <c r="AQ25" i="1"/>
  <c r="BA25" i="1" s="1"/>
  <c r="AH23" i="1"/>
  <c r="AL24" i="1"/>
  <c r="AM24" i="1"/>
  <c r="AO24" i="1"/>
  <c r="BC24" i="1" s="1"/>
  <c r="AP24" i="1"/>
  <c r="AK25" i="1"/>
  <c r="AN25" i="1"/>
  <c r="BE21" i="1"/>
  <c r="C22" i="1" s="1"/>
  <c r="AF22" i="1"/>
  <c r="AD22" i="1" s="1"/>
  <c r="AS24" i="1"/>
  <c r="Z25" i="1" s="1"/>
  <c r="BQ24" i="1" s="1"/>
  <c r="BB24" i="1" l="1"/>
  <c r="BI14" i="1"/>
  <c r="AU15" i="1" s="1"/>
  <c r="BD24" i="1"/>
  <c r="I24" i="1"/>
  <c r="AE24" i="1"/>
  <c r="AZ23" i="1"/>
  <c r="S38" i="1"/>
  <c r="T38" i="1" s="1"/>
  <c r="AI33" i="1"/>
  <c r="BJ33" i="1" s="1"/>
  <c r="X32" i="1"/>
  <c r="Y32" i="1"/>
  <c r="AX24" i="1"/>
  <c r="BH24" i="1"/>
  <c r="BG21" i="1"/>
  <c r="AR29" i="1"/>
  <c r="AJ28" i="1"/>
  <c r="AQ26" i="1"/>
  <c r="BA26" i="1" s="1"/>
  <c r="AH24" i="1"/>
  <c r="AL25" i="1"/>
  <c r="AM25" i="1"/>
  <c r="AP25" i="1"/>
  <c r="AO25" i="1"/>
  <c r="BC25" i="1" s="1"/>
  <c r="AK26" i="1"/>
  <c r="AN26" i="1"/>
  <c r="BE22" i="1"/>
  <c r="C23" i="1" s="1"/>
  <c r="AF23" i="1"/>
  <c r="AS25" i="1"/>
  <c r="Z26" i="1" s="1"/>
  <c r="BQ25" i="1" s="1"/>
  <c r="BB25" i="1" l="1"/>
  <c r="BS13" i="1"/>
  <c r="BK15" i="1"/>
  <c r="BU14" i="1"/>
  <c r="A15" i="1"/>
  <c r="B15" i="1" s="1"/>
  <c r="D15" i="1" s="1"/>
  <c r="J15" i="1" s="1"/>
  <c r="K15" i="1" s="1"/>
  <c r="Q15" i="1" s="1"/>
  <c r="BL15" i="1"/>
  <c r="BN15" i="1" s="1"/>
  <c r="BD25" i="1"/>
  <c r="AE25" i="1"/>
  <c r="AZ24" i="1"/>
  <c r="I25" i="1"/>
  <c r="S39" i="1"/>
  <c r="T39" i="1" s="1"/>
  <c r="AI34" i="1"/>
  <c r="BJ34" i="1" s="1"/>
  <c r="Y33" i="1"/>
  <c r="X33" i="1"/>
  <c r="AD23" i="1"/>
  <c r="AX25" i="1"/>
  <c r="BH25" i="1"/>
  <c r="BG22" i="1"/>
  <c r="AR30" i="1"/>
  <c r="AJ29" i="1"/>
  <c r="AQ27" i="1"/>
  <c r="BA27" i="1" s="1"/>
  <c r="AH25" i="1"/>
  <c r="AM26" i="1"/>
  <c r="AL26" i="1"/>
  <c r="AO26" i="1"/>
  <c r="BC26" i="1" s="1"/>
  <c r="AP26" i="1"/>
  <c r="AK27" i="1"/>
  <c r="AN27" i="1"/>
  <c r="BE23" i="1"/>
  <c r="C24" i="1" s="1"/>
  <c r="AF24" i="1"/>
  <c r="AS26" i="1"/>
  <c r="Z27" i="1" s="1"/>
  <c r="BQ26" i="1" s="1"/>
  <c r="BB26" i="1" l="1"/>
  <c r="O15" i="1"/>
  <c r="M15" i="1"/>
  <c r="P15" i="1"/>
  <c r="N15" i="1"/>
  <c r="E20" i="1"/>
  <c r="AC15" i="1"/>
  <c r="AW15" i="1" s="1"/>
  <c r="BD26" i="1"/>
  <c r="AE26" i="1"/>
  <c r="AZ25" i="1"/>
  <c r="I26" i="1"/>
  <c r="S40" i="1"/>
  <c r="T40" i="1" s="1"/>
  <c r="AI35" i="1"/>
  <c r="BJ35" i="1" s="1"/>
  <c r="Y34" i="1"/>
  <c r="X34" i="1"/>
  <c r="AD24" i="1"/>
  <c r="AX26" i="1"/>
  <c r="BH26" i="1"/>
  <c r="BG23" i="1"/>
  <c r="AR31" i="1"/>
  <c r="AJ30" i="1"/>
  <c r="AQ28" i="1"/>
  <c r="BA28" i="1" s="1"/>
  <c r="AH26" i="1"/>
  <c r="AM27" i="1"/>
  <c r="AL27" i="1"/>
  <c r="AO27" i="1"/>
  <c r="BC27" i="1" s="1"/>
  <c r="AP27" i="1"/>
  <c r="AK28" i="1"/>
  <c r="AN28" i="1"/>
  <c r="BE24" i="1"/>
  <c r="C25" i="1" s="1"/>
  <c r="AF25" i="1"/>
  <c r="AD25" i="1" s="1"/>
  <c r="AS27" i="1"/>
  <c r="Z28" i="1" s="1"/>
  <c r="BQ27" i="1" s="1"/>
  <c r="BB27" i="1" l="1"/>
  <c r="R15" i="1"/>
  <c r="L15" i="1" s="1"/>
  <c r="BF15" i="1" s="1"/>
  <c r="BD27" i="1"/>
  <c r="AE27" i="1"/>
  <c r="AZ26" i="1"/>
  <c r="I27" i="1"/>
  <c r="AI36" i="1"/>
  <c r="X35" i="1"/>
  <c r="Y35" i="1"/>
  <c r="AX27" i="1"/>
  <c r="BH27" i="1"/>
  <c r="BG24" i="1"/>
  <c r="AR32" i="1"/>
  <c r="AJ31" i="1"/>
  <c r="AQ29" i="1"/>
  <c r="BA29" i="1" s="1"/>
  <c r="AH27" i="1"/>
  <c r="AL28" i="1"/>
  <c r="AM28" i="1"/>
  <c r="AO28" i="1"/>
  <c r="BC28" i="1" s="1"/>
  <c r="AP28" i="1"/>
  <c r="AK29" i="1"/>
  <c r="AN29" i="1"/>
  <c r="BE25" i="1"/>
  <c r="C26" i="1" s="1"/>
  <c r="AF26" i="1"/>
  <c r="AD26" i="1" s="1"/>
  <c r="AS28" i="1"/>
  <c r="Z29" i="1" s="1"/>
  <c r="BQ28" i="1" s="1"/>
  <c r="BB28" i="1" l="1"/>
  <c r="BI15" i="1"/>
  <c r="AU16" i="1" s="1"/>
  <c r="BU15" i="1" s="1"/>
  <c r="BJ36" i="1"/>
  <c r="BD28" i="1"/>
  <c r="AE28" i="1"/>
  <c r="AZ27" i="1"/>
  <c r="I28" i="1"/>
  <c r="AI37" i="1"/>
  <c r="BJ37" i="1" s="1"/>
  <c r="Y36" i="1"/>
  <c r="X36" i="1"/>
  <c r="AX28" i="1"/>
  <c r="BH28" i="1"/>
  <c r="BG25" i="1"/>
  <c r="AR33" i="1"/>
  <c r="AJ32" i="1"/>
  <c r="AQ30" i="1"/>
  <c r="BA30" i="1" s="1"/>
  <c r="AH28" i="1"/>
  <c r="AL29" i="1"/>
  <c r="AM29" i="1"/>
  <c r="AP29" i="1"/>
  <c r="AO29" i="1"/>
  <c r="BC29" i="1" s="1"/>
  <c r="AK30" i="1"/>
  <c r="AN30" i="1"/>
  <c r="BE26" i="1"/>
  <c r="C27" i="1" s="1"/>
  <c r="AF27" i="1"/>
  <c r="AS29" i="1"/>
  <c r="Z30" i="1" s="1"/>
  <c r="BQ29" i="1" s="1"/>
  <c r="BC30" i="1" l="1"/>
  <c r="BB29" i="1"/>
  <c r="BL16" i="1"/>
  <c r="E21" i="1" s="1"/>
  <c r="A16" i="1"/>
  <c r="B16" i="1" s="1"/>
  <c r="D16" i="1" s="1"/>
  <c r="J16" i="1" s="1"/>
  <c r="K16" i="1" s="1"/>
  <c r="P16" i="1" s="1"/>
  <c r="BK16" i="1"/>
  <c r="BS14" i="1"/>
  <c r="BD29" i="1"/>
  <c r="AE29" i="1"/>
  <c r="AZ28" i="1"/>
  <c r="I29" i="1"/>
  <c r="AI38" i="1"/>
  <c r="BJ38" i="1" s="1"/>
  <c r="X37" i="1"/>
  <c r="Y37" i="1"/>
  <c r="AD27" i="1"/>
  <c r="AX29" i="1"/>
  <c r="BH29" i="1"/>
  <c r="BG26" i="1"/>
  <c r="AR34" i="1"/>
  <c r="AJ33" i="1"/>
  <c r="AQ31" i="1"/>
  <c r="BA31" i="1" s="1"/>
  <c r="AH29" i="1"/>
  <c r="AM30" i="1"/>
  <c r="AL30" i="1"/>
  <c r="AO30" i="1"/>
  <c r="AP30" i="1"/>
  <c r="AK31" i="1"/>
  <c r="AN31" i="1"/>
  <c r="BE27" i="1"/>
  <c r="C28" i="1" s="1"/>
  <c r="AF28" i="1"/>
  <c r="AS30" i="1"/>
  <c r="Z31" i="1" s="1"/>
  <c r="BQ30" i="1" s="1"/>
  <c r="BB30" i="1" l="1"/>
  <c r="Q16" i="1"/>
  <c r="O16" i="1"/>
  <c r="AC16" i="1"/>
  <c r="AW16" i="1" s="1"/>
  <c r="BN16" i="1"/>
  <c r="N16" i="1"/>
  <c r="M16" i="1"/>
  <c r="BD30" i="1"/>
  <c r="AE30" i="1"/>
  <c r="AZ29" i="1"/>
  <c r="I30" i="1"/>
  <c r="AI39" i="1"/>
  <c r="BJ39" i="1" s="1"/>
  <c r="X38" i="1"/>
  <c r="Y38" i="1"/>
  <c r="AD28" i="1"/>
  <c r="AX30" i="1"/>
  <c r="BH30" i="1"/>
  <c r="BG27" i="1"/>
  <c r="AR35" i="1"/>
  <c r="AJ34" i="1"/>
  <c r="AQ32" i="1"/>
  <c r="BA32" i="1" s="1"/>
  <c r="AH30" i="1"/>
  <c r="AM31" i="1"/>
  <c r="AL31" i="1"/>
  <c r="AO31" i="1"/>
  <c r="BC31" i="1" s="1"/>
  <c r="AP31" i="1"/>
  <c r="AK32" i="1"/>
  <c r="AN32" i="1"/>
  <c r="BE28" i="1"/>
  <c r="C29" i="1" s="1"/>
  <c r="AF29" i="1"/>
  <c r="AD29" i="1" s="1"/>
  <c r="AS31" i="1"/>
  <c r="Z32" i="1" s="1"/>
  <c r="BQ31" i="1" s="1"/>
  <c r="BB31" i="1" l="1"/>
  <c r="R16" i="1"/>
  <c r="L16" i="1" s="1"/>
  <c r="BI16" i="1" s="1"/>
  <c r="AU17" i="1" s="1"/>
  <c r="BD31" i="1"/>
  <c r="AE31" i="1"/>
  <c r="AZ30" i="1"/>
  <c r="I31" i="1"/>
  <c r="AI40" i="1"/>
  <c r="BJ40" i="1" s="1"/>
  <c r="Y39" i="1"/>
  <c r="X39" i="1"/>
  <c r="AX31" i="1"/>
  <c r="BH31" i="1"/>
  <c r="BG28" i="1"/>
  <c r="AR36" i="1"/>
  <c r="AJ35" i="1"/>
  <c r="AQ33" i="1"/>
  <c r="BA33" i="1" s="1"/>
  <c r="AH31" i="1"/>
  <c r="AL32" i="1"/>
  <c r="AM32" i="1"/>
  <c r="AO32" i="1"/>
  <c r="BC32" i="1" s="1"/>
  <c r="AP32" i="1"/>
  <c r="AK33" i="1"/>
  <c r="AN33" i="1"/>
  <c r="BE29" i="1"/>
  <c r="C30" i="1" s="1"/>
  <c r="AF30" i="1"/>
  <c r="AD30" i="1" s="1"/>
  <c r="AS32" i="1"/>
  <c r="Z33" i="1" s="1"/>
  <c r="BQ32" i="1" s="1"/>
  <c r="BB32" i="1" l="1"/>
  <c r="BF16" i="1"/>
  <c r="BS15" i="1"/>
  <c r="A17" i="1"/>
  <c r="B17" i="1" s="1"/>
  <c r="D17" i="1" s="1"/>
  <c r="J17" i="1" s="1"/>
  <c r="K17" i="1" s="1"/>
  <c r="M17" i="1" s="1"/>
  <c r="BU16" i="1"/>
  <c r="BL17" i="1"/>
  <c r="BN17" i="1" s="1"/>
  <c r="BK17" i="1"/>
  <c r="BD32" i="1"/>
  <c r="AE32" i="1"/>
  <c r="AZ31" i="1"/>
  <c r="I32" i="1"/>
  <c r="X40" i="1"/>
  <c r="Y40" i="1"/>
  <c r="AX32" i="1"/>
  <c r="BH32" i="1"/>
  <c r="BG29" i="1"/>
  <c r="AR37" i="1"/>
  <c r="AJ36" i="1"/>
  <c r="AQ34" i="1"/>
  <c r="BA34" i="1" s="1"/>
  <c r="AH32" i="1"/>
  <c r="AL33" i="1"/>
  <c r="AM33" i="1"/>
  <c r="AP33" i="1"/>
  <c r="AO33" i="1"/>
  <c r="BC33" i="1" s="1"/>
  <c r="AK34" i="1"/>
  <c r="AN34" i="1"/>
  <c r="BE30" i="1"/>
  <c r="C31" i="1" s="1"/>
  <c r="AF31" i="1"/>
  <c r="AS33" i="1"/>
  <c r="Z34" i="1" s="1"/>
  <c r="BB33" i="1" l="1"/>
  <c r="BQ33" i="1"/>
  <c r="O17" i="1"/>
  <c r="Q17" i="1"/>
  <c r="P17" i="1"/>
  <c r="N17" i="1"/>
  <c r="E22" i="1"/>
  <c r="AC17" i="1"/>
  <c r="AW17" i="1" s="1"/>
  <c r="BD33" i="1"/>
  <c r="AE33" i="1"/>
  <c r="AZ32" i="1"/>
  <c r="I33" i="1"/>
  <c r="AD31" i="1"/>
  <c r="AX33" i="1"/>
  <c r="BH33" i="1"/>
  <c r="BG30" i="1"/>
  <c r="AR38" i="1"/>
  <c r="AJ37" i="1"/>
  <c r="AQ35" i="1"/>
  <c r="BA35" i="1" s="1"/>
  <c r="AH33" i="1"/>
  <c r="AM34" i="1"/>
  <c r="AL34" i="1"/>
  <c r="AO34" i="1"/>
  <c r="BC34" i="1" s="1"/>
  <c r="AP34" i="1"/>
  <c r="AK35" i="1"/>
  <c r="AN35" i="1"/>
  <c r="BE31" i="1"/>
  <c r="C32" i="1" s="1"/>
  <c r="AF32" i="1"/>
  <c r="AS34" i="1"/>
  <c r="Z35" i="1" s="1"/>
  <c r="BQ34" i="1" s="1"/>
  <c r="BB34" i="1" l="1"/>
  <c r="R17" i="1"/>
  <c r="L17" i="1" s="1"/>
  <c r="BF17" i="1" s="1"/>
  <c r="BD34" i="1"/>
  <c r="AE34" i="1"/>
  <c r="I34" i="1"/>
  <c r="AZ33" i="1"/>
  <c r="AD32" i="1"/>
  <c r="AX34" i="1"/>
  <c r="BH34" i="1"/>
  <c r="BG31" i="1"/>
  <c r="AR39" i="1"/>
  <c r="AJ38" i="1"/>
  <c r="AQ36" i="1"/>
  <c r="BA36" i="1" s="1"/>
  <c r="AH34" i="1"/>
  <c r="AM35" i="1"/>
  <c r="AL35" i="1"/>
  <c r="AO35" i="1"/>
  <c r="BC35" i="1" s="1"/>
  <c r="AP35" i="1"/>
  <c r="AN36" i="1"/>
  <c r="AK36" i="1"/>
  <c r="BE32" i="1"/>
  <c r="C33" i="1" s="1"/>
  <c r="AF33" i="1"/>
  <c r="AD33" i="1" s="1"/>
  <c r="AS35" i="1"/>
  <c r="Z36" i="1" s="1"/>
  <c r="BQ35" i="1" s="1"/>
  <c r="AZ34" i="1" l="1"/>
  <c r="BB35" i="1"/>
  <c r="BI17" i="1"/>
  <c r="AU18" i="1" s="1"/>
  <c r="BU17" i="1" s="1"/>
  <c r="BD35" i="1"/>
  <c r="AE35" i="1"/>
  <c r="I35" i="1"/>
  <c r="AX35" i="1"/>
  <c r="BH35" i="1"/>
  <c r="BG32" i="1"/>
  <c r="AR40" i="1"/>
  <c r="AJ40" i="1" s="1"/>
  <c r="AJ39" i="1"/>
  <c r="AQ37" i="1"/>
  <c r="BA37" i="1" s="1"/>
  <c r="AH35" i="1"/>
  <c r="AO36" i="1"/>
  <c r="BC36" i="1" s="1"/>
  <c r="AP36" i="1"/>
  <c r="AL36" i="1"/>
  <c r="AM36" i="1"/>
  <c r="AK37" i="1"/>
  <c r="AN37" i="1"/>
  <c r="BE33" i="1"/>
  <c r="C34" i="1" s="1"/>
  <c r="AF34" i="1"/>
  <c r="AD34" i="1" s="1"/>
  <c r="AS36" i="1"/>
  <c r="Z37" i="1" s="1"/>
  <c r="BQ36" i="1" s="1"/>
  <c r="BB36" i="1" l="1"/>
  <c r="BS16" i="1"/>
  <c r="BK18" i="1"/>
  <c r="A18" i="1"/>
  <c r="B18" i="1" s="1"/>
  <c r="D18" i="1" s="1"/>
  <c r="J18" i="1" s="1"/>
  <c r="K18" i="1" s="1"/>
  <c r="BL18" i="1"/>
  <c r="BD36" i="1"/>
  <c r="AE36" i="1"/>
  <c r="I36" i="1"/>
  <c r="AZ35" i="1"/>
  <c r="AX36" i="1"/>
  <c r="BH36" i="1"/>
  <c r="BG33" i="1"/>
  <c r="AQ38" i="1"/>
  <c r="BA38" i="1" s="1"/>
  <c r="AH36" i="1"/>
  <c r="AL37" i="1"/>
  <c r="AM37" i="1"/>
  <c r="AP37" i="1"/>
  <c r="AO37" i="1"/>
  <c r="BC37" i="1" s="1"/>
  <c r="AN38" i="1"/>
  <c r="AK38" i="1"/>
  <c r="BE34" i="1"/>
  <c r="C35" i="1" s="1"/>
  <c r="AS37" i="1"/>
  <c r="Z38" i="1" s="1"/>
  <c r="BQ37" i="1" s="1"/>
  <c r="AF35" i="1"/>
  <c r="BB37" i="1" l="1"/>
  <c r="AC18" i="1"/>
  <c r="AW18" i="1" s="1"/>
  <c r="BN18" i="1"/>
  <c r="E23" i="1"/>
  <c r="O18" i="1"/>
  <c r="M18" i="1"/>
  <c r="N18" i="1"/>
  <c r="Q18" i="1"/>
  <c r="P18" i="1"/>
  <c r="BD37" i="1"/>
  <c r="AE37" i="1"/>
  <c r="AZ36" i="1"/>
  <c r="I37" i="1"/>
  <c r="AD35" i="1"/>
  <c r="AX37" i="1"/>
  <c r="BH37" i="1"/>
  <c r="BG34" i="1"/>
  <c r="AQ39" i="1"/>
  <c r="BA39" i="1" s="1"/>
  <c r="AH37" i="1"/>
  <c r="AO38" i="1"/>
  <c r="BC38" i="1" s="1"/>
  <c r="AP38" i="1"/>
  <c r="AM38" i="1"/>
  <c r="AL38" i="1"/>
  <c r="AN39" i="1"/>
  <c r="AK39" i="1"/>
  <c r="BE35" i="1"/>
  <c r="C36" i="1" s="1"/>
  <c r="AF36" i="1"/>
  <c r="AS38" i="1"/>
  <c r="Z39" i="1" s="1"/>
  <c r="BQ38" i="1" s="1"/>
  <c r="BB38" i="1" l="1"/>
  <c r="R18" i="1"/>
  <c r="L18" i="1" s="1"/>
  <c r="BD38" i="1"/>
  <c r="AE38" i="1"/>
  <c r="AZ37" i="1"/>
  <c r="I38" i="1"/>
  <c r="AD36" i="1"/>
  <c r="AX38" i="1"/>
  <c r="BH38" i="1"/>
  <c r="BG35" i="1"/>
  <c r="AQ40" i="1"/>
  <c r="BA40" i="1" s="1"/>
  <c r="AH38" i="1"/>
  <c r="AO39" i="1"/>
  <c r="BC39" i="1" s="1"/>
  <c r="AP39" i="1"/>
  <c r="AM39" i="1"/>
  <c r="AL39" i="1"/>
  <c r="AK40" i="1"/>
  <c r="AN40" i="1"/>
  <c r="BE36" i="1"/>
  <c r="C37" i="1" s="1"/>
  <c r="AS39" i="1"/>
  <c r="Z40" i="1" s="1"/>
  <c r="BQ39" i="1" s="1"/>
  <c r="AF37" i="1"/>
  <c r="AD37" i="1" s="1"/>
  <c r="BB39" i="1" l="1"/>
  <c r="BF18" i="1"/>
  <c r="BI18" i="1"/>
  <c r="BD39" i="1"/>
  <c r="AE39" i="1"/>
  <c r="AZ38" i="1"/>
  <c r="I39" i="1"/>
  <c r="AX39" i="1"/>
  <c r="BH39" i="1"/>
  <c r="BG36" i="1"/>
  <c r="AH39" i="1"/>
  <c r="AL40" i="1"/>
  <c r="AM40" i="1"/>
  <c r="AO40" i="1"/>
  <c r="BC40" i="1" s="1"/>
  <c r="AP40" i="1"/>
  <c r="BE37" i="1"/>
  <c r="C38" i="1" s="1"/>
  <c r="AS40" i="1"/>
  <c r="AF38" i="1"/>
  <c r="AD38" i="1" s="1"/>
  <c r="BB40" i="1" l="1"/>
  <c r="AU19" i="1"/>
  <c r="BU18" i="1" s="1"/>
  <c r="BS17" i="1"/>
  <c r="BD40" i="1"/>
  <c r="AE40" i="1"/>
  <c r="AZ39" i="1"/>
  <c r="I40" i="1"/>
  <c r="AX40" i="1"/>
  <c r="BH40" i="1"/>
  <c r="BG37" i="1"/>
  <c r="AH40" i="1"/>
  <c r="BE38" i="1"/>
  <c r="C39" i="1" s="1"/>
  <c r="AF39" i="1"/>
  <c r="AD39" i="1" s="1"/>
  <c r="A19" i="1" l="1"/>
  <c r="B19" i="1" s="1"/>
  <c r="D19" i="1" s="1"/>
  <c r="J19" i="1" s="1"/>
  <c r="K19" i="1" s="1"/>
  <c r="BL19" i="1"/>
  <c r="BK19" i="1"/>
  <c r="BG38" i="1"/>
  <c r="BE39" i="1"/>
  <c r="C40" i="1" s="1"/>
  <c r="AF40" i="1"/>
  <c r="AD40" i="1" s="1"/>
  <c r="BN19" i="1" l="1"/>
  <c r="AC19" i="1"/>
  <c r="AW19" i="1" s="1"/>
  <c r="E24" i="1"/>
  <c r="Q19" i="1"/>
  <c r="O19" i="1"/>
  <c r="M19" i="1"/>
  <c r="N19" i="1"/>
  <c r="P19" i="1"/>
  <c r="BG39" i="1"/>
  <c r="BE40" i="1"/>
  <c r="R19" i="1" l="1"/>
  <c r="L19" i="1" s="1"/>
  <c r="BI19" i="1" s="1"/>
  <c r="AU20" i="1" s="1"/>
  <c r="BU19" i="1" s="1"/>
  <c r="BG40" i="1"/>
  <c r="BS18" i="1" l="1"/>
  <c r="BF19" i="1"/>
  <c r="BK20" i="1"/>
  <c r="BL20" i="1"/>
  <c r="A20" i="1"/>
  <c r="B20" i="1" s="1"/>
  <c r="D20" i="1" s="1"/>
  <c r="J20" i="1" s="1"/>
  <c r="K20" i="1" s="1"/>
  <c r="AC20" i="1" l="1"/>
  <c r="AW20" i="1" s="1"/>
  <c r="BN20" i="1"/>
  <c r="E25" i="1"/>
  <c r="Q20" i="1"/>
  <c r="N20" i="1"/>
  <c r="O20" i="1"/>
  <c r="P20" i="1"/>
  <c r="M20" i="1"/>
  <c r="R20" i="1" l="1"/>
  <c r="L20" i="1" s="1"/>
  <c r="BI20" i="1" s="1"/>
  <c r="AU21" i="1" s="1"/>
  <c r="BU20" i="1" s="1"/>
  <c r="AZ40" i="1"/>
  <c r="BF20" i="1" l="1"/>
  <c r="BS19" i="1"/>
  <c r="BK21" i="1"/>
  <c r="BL21" i="1"/>
  <c r="A21" i="1"/>
  <c r="B21" i="1" s="1"/>
  <c r="D21" i="1" s="1"/>
  <c r="J21" i="1" s="1"/>
  <c r="K21" i="1" s="1"/>
  <c r="N21" i="1" l="1"/>
  <c r="M21" i="1"/>
  <c r="O21" i="1"/>
  <c r="P21" i="1"/>
  <c r="Q21" i="1"/>
  <c r="BN21" i="1"/>
  <c r="E26" i="1"/>
  <c r="AC21" i="1"/>
  <c r="AW21" i="1" s="1"/>
  <c r="R21" i="1" l="1"/>
  <c r="L21" i="1" s="1"/>
  <c r="BI21" i="1" l="1"/>
  <c r="BF21" i="1"/>
  <c r="AU22" i="1" l="1"/>
  <c r="BU21" i="1" s="1"/>
  <c r="BS20" i="1"/>
  <c r="A22" i="1" l="1"/>
  <c r="B22" i="1" s="1"/>
  <c r="D22" i="1" s="1"/>
  <c r="J22" i="1" s="1"/>
  <c r="K22" i="1" s="1"/>
  <c r="BK22" i="1"/>
  <c r="BL22" i="1"/>
  <c r="E27" i="1" l="1"/>
  <c r="BN22" i="1"/>
  <c r="AC22" i="1"/>
  <c r="AW22" i="1" s="1"/>
  <c r="Q22" i="1"/>
  <c r="P22" i="1"/>
  <c r="M22" i="1"/>
  <c r="N22" i="1"/>
  <c r="O22" i="1"/>
  <c r="R22" i="1" l="1"/>
  <c r="L22" i="1" s="1"/>
  <c r="BI22" i="1" l="1"/>
  <c r="BF22" i="1"/>
  <c r="AU23" i="1" l="1"/>
  <c r="BU22" i="1" s="1"/>
  <c r="BS21" i="1"/>
  <c r="BK23" i="1" l="1"/>
  <c r="A23" i="1"/>
  <c r="B23" i="1" s="1"/>
  <c r="D23" i="1" s="1"/>
  <c r="J23" i="1" s="1"/>
  <c r="K23" i="1" s="1"/>
  <c r="BL23" i="1"/>
  <c r="AC23" i="1" l="1"/>
  <c r="AW23" i="1" s="1"/>
  <c r="E28" i="1"/>
  <c r="BN23" i="1"/>
  <c r="Q23" i="1"/>
  <c r="M23" i="1"/>
  <c r="O23" i="1"/>
  <c r="P23" i="1"/>
  <c r="N23" i="1"/>
  <c r="R23" i="1" l="1"/>
  <c r="L23" i="1" s="1"/>
  <c r="BI23" i="1" l="1"/>
  <c r="BF23" i="1"/>
  <c r="AU24" i="1" l="1"/>
  <c r="BU23" i="1" s="1"/>
  <c r="BS22" i="1"/>
  <c r="A24" i="1" l="1"/>
  <c r="B24" i="1" s="1"/>
  <c r="D24" i="1" s="1"/>
  <c r="J24" i="1" s="1"/>
  <c r="K24" i="1" s="1"/>
  <c r="BL24" i="1"/>
  <c r="BK24" i="1"/>
  <c r="AC24" i="1" l="1"/>
  <c r="AW24" i="1" s="1"/>
  <c r="E29" i="1"/>
  <c r="BN24" i="1"/>
  <c r="M24" i="1"/>
  <c r="N24" i="1"/>
  <c r="P24" i="1"/>
  <c r="Q24" i="1"/>
  <c r="O24" i="1"/>
  <c r="R24" i="1" l="1"/>
  <c r="L24" i="1" s="1"/>
  <c r="BI24" i="1" l="1"/>
  <c r="BF24" i="1"/>
  <c r="AU25" i="1" l="1"/>
  <c r="BU24" i="1" s="1"/>
  <c r="BS23" i="1"/>
  <c r="A25" i="1" l="1"/>
  <c r="B25" i="1" s="1"/>
  <c r="D25" i="1" s="1"/>
  <c r="J25" i="1" s="1"/>
  <c r="K25" i="1" s="1"/>
  <c r="BK25" i="1"/>
  <c r="BL25" i="1"/>
  <c r="E30" i="1" l="1"/>
  <c r="BN25" i="1"/>
  <c r="AC25" i="1"/>
  <c r="AW25" i="1" s="1"/>
  <c r="O25" i="1"/>
  <c r="P25" i="1"/>
  <c r="Q25" i="1"/>
  <c r="N25" i="1"/>
  <c r="M25" i="1"/>
  <c r="R25" i="1" l="1"/>
  <c r="L25" i="1" s="1"/>
  <c r="BF25" i="1" s="1"/>
  <c r="BI25" i="1" l="1"/>
  <c r="AU26" i="1" s="1"/>
  <c r="BU25" i="1" s="1"/>
  <c r="BS24" i="1" l="1"/>
  <c r="A26" i="1"/>
  <c r="B26" i="1" s="1"/>
  <c r="D26" i="1" s="1"/>
  <c r="J26" i="1" s="1"/>
  <c r="K26" i="1" s="1"/>
  <c r="BL26" i="1"/>
  <c r="BK26" i="1"/>
  <c r="E31" i="1" l="1"/>
  <c r="BN26" i="1"/>
  <c r="AC26" i="1"/>
  <c r="AW26" i="1" s="1"/>
  <c r="M26" i="1"/>
  <c r="N26" i="1"/>
  <c r="O26" i="1"/>
  <c r="Q26" i="1"/>
  <c r="P26" i="1"/>
  <c r="R26" i="1" l="1"/>
  <c r="L26" i="1" s="1"/>
  <c r="BI26" i="1" l="1"/>
  <c r="BF26" i="1"/>
  <c r="AU27" i="1" l="1"/>
  <c r="BU26" i="1" s="1"/>
  <c r="BS25" i="1"/>
  <c r="BL27" i="1" l="1"/>
  <c r="BK27" i="1"/>
  <c r="A27" i="1"/>
  <c r="B27" i="1" s="1"/>
  <c r="D27" i="1" s="1"/>
  <c r="J27" i="1" s="1"/>
  <c r="K27" i="1" s="1"/>
  <c r="O27" i="1" l="1"/>
  <c r="P27" i="1"/>
  <c r="M27" i="1"/>
  <c r="N27" i="1"/>
  <c r="Q27" i="1"/>
  <c r="AC27" i="1"/>
  <c r="AW27" i="1" s="1"/>
  <c r="E32" i="1"/>
  <c r="BN27" i="1"/>
  <c r="R27" i="1" l="1"/>
  <c r="L27" i="1" s="1"/>
  <c r="BI27" i="1" l="1"/>
  <c r="BF27" i="1"/>
  <c r="AU28" i="1" l="1"/>
  <c r="BU27" i="1" s="1"/>
  <c r="BS26" i="1"/>
  <c r="A28" i="1" l="1"/>
  <c r="B28" i="1" s="1"/>
  <c r="D28" i="1" s="1"/>
  <c r="J28" i="1" s="1"/>
  <c r="K28" i="1" s="1"/>
  <c r="BK28" i="1"/>
  <c r="BL28" i="1"/>
  <c r="AC28" i="1" l="1"/>
  <c r="AW28" i="1" s="1"/>
  <c r="E33" i="1"/>
  <c r="BN28" i="1"/>
  <c r="Q28" i="1"/>
  <c r="P28" i="1"/>
  <c r="M28" i="1"/>
  <c r="O28" i="1"/>
  <c r="N28" i="1"/>
  <c r="R28" i="1" l="1"/>
  <c r="L28" i="1" s="1"/>
  <c r="BF28" i="1" s="1"/>
  <c r="BI28" i="1" l="1"/>
  <c r="AU29" i="1" s="1"/>
  <c r="BU28" i="1" s="1"/>
  <c r="BS27" i="1" l="1"/>
  <c r="A29" i="1"/>
  <c r="B29" i="1" s="1"/>
  <c r="D29" i="1" s="1"/>
  <c r="J29" i="1" s="1"/>
  <c r="K29" i="1" s="1"/>
  <c r="BL29" i="1"/>
  <c r="BK29" i="1"/>
  <c r="E34" i="1" l="1"/>
  <c r="BN29" i="1"/>
  <c r="AC29" i="1"/>
  <c r="AW29" i="1" s="1"/>
  <c r="N29" i="1"/>
  <c r="Q29" i="1"/>
  <c r="P29" i="1"/>
  <c r="M29" i="1"/>
  <c r="O29" i="1"/>
  <c r="R29" i="1" l="1"/>
  <c r="L29" i="1" s="1"/>
  <c r="BI29" i="1" l="1"/>
  <c r="BF29" i="1"/>
  <c r="AU30" i="1" l="1"/>
  <c r="BU29" i="1" s="1"/>
  <c r="BS28" i="1"/>
  <c r="A30" i="1" l="1"/>
  <c r="B30" i="1" s="1"/>
  <c r="D30" i="1" s="1"/>
  <c r="J30" i="1" s="1"/>
  <c r="K30" i="1" s="1"/>
  <c r="BK30" i="1"/>
  <c r="BL30" i="1"/>
  <c r="E35" i="1" l="1"/>
  <c r="BN30" i="1"/>
  <c r="AC30" i="1"/>
  <c r="AW30" i="1" s="1"/>
  <c r="P30" i="1"/>
  <c r="O30" i="1"/>
  <c r="M30" i="1"/>
  <c r="N30" i="1"/>
  <c r="Q30" i="1"/>
  <c r="R30" i="1" l="1"/>
  <c r="L30" i="1" s="1"/>
  <c r="BI30" i="1" s="1"/>
  <c r="BF30" i="1" l="1"/>
  <c r="AU31" i="1"/>
  <c r="BU30" i="1" s="1"/>
  <c r="BS29" i="1"/>
  <c r="A31" i="1" l="1"/>
  <c r="B31" i="1" s="1"/>
  <c r="D31" i="1" s="1"/>
  <c r="J31" i="1" s="1"/>
  <c r="K31" i="1" s="1"/>
  <c r="BL31" i="1"/>
  <c r="BK31" i="1"/>
  <c r="AC31" i="1" l="1"/>
  <c r="AW31" i="1" s="1"/>
  <c r="E36" i="1"/>
  <c r="BN31" i="1"/>
  <c r="O31" i="1"/>
  <c r="N31" i="1"/>
  <c r="Q31" i="1"/>
  <c r="P31" i="1"/>
  <c r="M31" i="1"/>
  <c r="R31" i="1" l="1"/>
  <c r="L31" i="1" s="1"/>
  <c r="BF31" i="1" s="1"/>
  <c r="BI31" i="1" l="1"/>
  <c r="AU32" i="1" s="1"/>
  <c r="BU31" i="1" s="1"/>
  <c r="BS30" i="1" l="1"/>
  <c r="A32" i="1"/>
  <c r="B32" i="1" s="1"/>
  <c r="D32" i="1" s="1"/>
  <c r="J32" i="1" s="1"/>
  <c r="K32" i="1" s="1"/>
  <c r="BK32" i="1"/>
  <c r="BL32" i="1"/>
  <c r="E37" i="1" l="1"/>
  <c r="AC32" i="1"/>
  <c r="AW32" i="1" s="1"/>
  <c r="BN32" i="1"/>
  <c r="M32" i="1"/>
  <c r="P32" i="1"/>
  <c r="O32" i="1"/>
  <c r="N32" i="1"/>
  <c r="Q32" i="1"/>
  <c r="R32" i="1" l="1"/>
  <c r="L32" i="1" s="1"/>
  <c r="BI32" i="1" l="1"/>
  <c r="BF32" i="1"/>
  <c r="AU33" i="1" l="1"/>
  <c r="BU32" i="1" s="1"/>
  <c r="BS31" i="1"/>
  <c r="A33" i="1" l="1"/>
  <c r="B33" i="1" s="1"/>
  <c r="D33" i="1" s="1"/>
  <c r="J33" i="1" s="1"/>
  <c r="K33" i="1" s="1"/>
  <c r="BL33" i="1"/>
  <c r="BK33" i="1"/>
  <c r="AC33" i="1" l="1"/>
  <c r="AW33" i="1" s="1"/>
  <c r="E38" i="1"/>
  <c r="BN33" i="1"/>
  <c r="N33" i="1"/>
  <c r="Q33" i="1"/>
  <c r="O33" i="1"/>
  <c r="M33" i="1"/>
  <c r="P33" i="1"/>
  <c r="R33" i="1" l="1"/>
  <c r="L33" i="1" s="1"/>
  <c r="BI33" i="1" s="1"/>
  <c r="BF33" i="1" l="1"/>
  <c r="AU34" i="1"/>
  <c r="BU33" i="1" s="1"/>
  <c r="BS32" i="1"/>
  <c r="A34" i="1" l="1"/>
  <c r="B34" i="1" s="1"/>
  <c r="D34" i="1" s="1"/>
  <c r="J34" i="1" s="1"/>
  <c r="K34" i="1" s="1"/>
  <c r="BK34" i="1"/>
  <c r="BL34" i="1"/>
  <c r="AC34" i="1" l="1"/>
  <c r="AW34" i="1" s="1"/>
  <c r="BN34" i="1"/>
  <c r="E39" i="1"/>
  <c r="Q34" i="1"/>
  <c r="P34" i="1"/>
  <c r="N34" i="1"/>
  <c r="M34" i="1"/>
  <c r="O34" i="1"/>
  <c r="R34" i="1" l="1"/>
  <c r="L34" i="1" s="1"/>
  <c r="BF34" i="1" l="1"/>
  <c r="BI34" i="1"/>
  <c r="AU35" i="1" l="1"/>
  <c r="BU34" i="1" s="1"/>
  <c r="BS33" i="1"/>
  <c r="BK35" i="1" l="1"/>
  <c r="A35" i="1"/>
  <c r="B35" i="1" s="1"/>
  <c r="D35" i="1" s="1"/>
  <c r="J35" i="1" s="1"/>
  <c r="K35" i="1" s="1"/>
  <c r="BL35" i="1"/>
  <c r="O35" i="1" l="1"/>
  <c r="P35" i="1"/>
  <c r="Q35" i="1"/>
  <c r="M35" i="1"/>
  <c r="N35" i="1"/>
  <c r="E40" i="1"/>
  <c r="AC35" i="1"/>
  <c r="AW35" i="1" s="1"/>
  <c r="BN35" i="1"/>
  <c r="R35" i="1" l="1"/>
  <c r="L35" i="1" s="1"/>
  <c r="BI35" i="1" l="1"/>
  <c r="BF35" i="1"/>
  <c r="AU36" i="1" l="1"/>
  <c r="BU35" i="1" s="1"/>
  <c r="BS34" i="1"/>
  <c r="BK36" i="1" l="1"/>
  <c r="BL36" i="1"/>
  <c r="A36" i="1"/>
  <c r="B36" i="1" s="1"/>
  <c r="D36" i="1" s="1"/>
  <c r="J36" i="1" s="1"/>
  <c r="K36" i="1" s="1"/>
  <c r="AC36" i="1" l="1"/>
  <c r="AW36" i="1" s="1"/>
  <c r="BN36" i="1"/>
  <c r="P36" i="1"/>
  <c r="O36" i="1"/>
  <c r="M36" i="1"/>
  <c r="N36" i="1"/>
  <c r="Q36" i="1"/>
  <c r="R36" i="1" l="1"/>
  <c r="L36" i="1" s="1"/>
  <c r="BI36" i="1" s="1"/>
  <c r="BF36" i="1" l="1"/>
  <c r="AU37" i="1"/>
  <c r="BU36" i="1" s="1"/>
  <c r="BS35" i="1"/>
  <c r="BL37" i="1" l="1"/>
  <c r="A37" i="1"/>
  <c r="B37" i="1" s="1"/>
  <c r="D37" i="1" s="1"/>
  <c r="J37" i="1" s="1"/>
  <c r="K37" i="1" s="1"/>
  <c r="BK37" i="1"/>
  <c r="N37" i="1" l="1"/>
  <c r="P37" i="1"/>
  <c r="O37" i="1"/>
  <c r="Q37" i="1"/>
  <c r="M37" i="1"/>
  <c r="BN37" i="1"/>
  <c r="AC37" i="1"/>
  <c r="AW37" i="1" s="1"/>
  <c r="R37" i="1" l="1"/>
  <c r="L37" i="1" s="1"/>
  <c r="BI37" i="1" s="1"/>
  <c r="BF37" i="1" l="1"/>
  <c r="AU38" i="1"/>
  <c r="BU37" i="1" s="1"/>
  <c r="BS36" i="1"/>
  <c r="A38" i="1" l="1"/>
  <c r="B38" i="1" s="1"/>
  <c r="D38" i="1" s="1"/>
  <c r="J38" i="1" s="1"/>
  <c r="K38" i="1" s="1"/>
  <c r="BK38" i="1"/>
  <c r="BL38" i="1"/>
  <c r="BN38" i="1" l="1"/>
  <c r="AC38" i="1"/>
  <c r="AW38" i="1" s="1"/>
  <c r="Q38" i="1"/>
  <c r="N38" i="1"/>
  <c r="M38" i="1"/>
  <c r="O38" i="1"/>
  <c r="P38" i="1"/>
  <c r="R38" i="1" l="1"/>
  <c r="L38" i="1" s="1"/>
  <c r="BI38" i="1" s="1"/>
  <c r="BF38" i="1" l="1"/>
  <c r="AU39" i="1"/>
  <c r="BU38" i="1" s="1"/>
  <c r="BS37" i="1"/>
  <c r="A39" i="1" l="1"/>
  <c r="B39" i="1" s="1"/>
  <c r="D39" i="1" s="1"/>
  <c r="J39" i="1" s="1"/>
  <c r="K39" i="1" s="1"/>
  <c r="BK39" i="1"/>
  <c r="BL39" i="1"/>
  <c r="BN39" i="1" l="1"/>
  <c r="AC39" i="1"/>
  <c r="AW39" i="1" s="1"/>
  <c r="P39" i="1"/>
  <c r="Q39" i="1"/>
  <c r="O39" i="1"/>
  <c r="M39" i="1"/>
  <c r="N39" i="1"/>
  <c r="R39" i="1" l="1"/>
  <c r="L39" i="1" s="1"/>
  <c r="BI39" i="1" l="1"/>
  <c r="AU40" i="1" s="1"/>
  <c r="BU39" i="1" s="1"/>
  <c r="BF39" i="1" l="1"/>
  <c r="BS38" i="1"/>
  <c r="BL40" i="1"/>
  <c r="AC40" i="1" s="1"/>
  <c r="AW40" i="1" s="1"/>
  <c r="BK40" i="1"/>
  <c r="A40" i="1"/>
  <c r="B40" i="1" s="1"/>
  <c r="D40" i="1" s="1"/>
  <c r="J40" i="1" s="1"/>
  <c r="K40" i="1" s="1"/>
  <c r="M40" i="1" s="1"/>
  <c r="BN40" i="1" l="1"/>
  <c r="N40" i="1"/>
  <c r="O40" i="1"/>
  <c r="P40" i="1"/>
  <c r="Q40" i="1"/>
  <c r="R40" i="1" l="1"/>
  <c r="L40" i="1" s="1"/>
  <c r="BF40" i="1" s="1"/>
  <c r="BI40" i="1" l="1"/>
  <c r="BS39" i="1" s="1"/>
</calcChain>
</file>

<file path=xl/sharedStrings.xml><?xml version="1.0" encoding="utf-8"?>
<sst xmlns="http://schemas.openxmlformats.org/spreadsheetml/2006/main" count="79" uniqueCount="73">
  <si>
    <t>dag ss</t>
  </si>
  <si>
    <t>INCOME</t>
  </si>
  <si>
    <t>redhouse</t>
  </si>
  <si>
    <t>expenses</t>
  </si>
  <si>
    <t>Jason</t>
  </si>
  <si>
    <t>Dagmar</t>
  </si>
  <si>
    <t>Paul</t>
  </si>
  <si>
    <t>rentals</t>
  </si>
  <si>
    <t>dag pen</t>
  </si>
  <si>
    <t>Gain=</t>
  </si>
  <si>
    <t>Inflation=</t>
  </si>
  <si>
    <t>D</t>
  </si>
  <si>
    <t>J college</t>
  </si>
  <si>
    <t>Sell LRH in=</t>
  </si>
  <si>
    <t>new house</t>
  </si>
  <si>
    <t>4 months</t>
  </si>
  <si>
    <t>one dead</t>
  </si>
  <si>
    <t>RETIRE</t>
  </si>
  <si>
    <t>Pre Retirement Gain%=</t>
  </si>
  <si>
    <t>Years to Retirement</t>
  </si>
  <si>
    <t>Red House</t>
  </si>
  <si>
    <t>Pay Off Florida.</t>
  </si>
  <si>
    <t>Business</t>
  </si>
  <si>
    <t>Yrs</t>
  </si>
  <si>
    <t>Surp/Def</t>
  </si>
  <si>
    <t>Income</t>
  </si>
  <si>
    <t>Florida</t>
  </si>
  <si>
    <t>Liquid Assets +</t>
  </si>
  <si>
    <t>US Realestate</t>
  </si>
  <si>
    <t>Expenses --&gt;</t>
  </si>
  <si>
    <t>FL Mortgage</t>
  </si>
  <si>
    <t>&lt;-College</t>
  </si>
  <si>
    <t>Ret</t>
  </si>
  <si>
    <t>Ret Year</t>
  </si>
  <si>
    <t>growth</t>
  </si>
  <si>
    <t>.03(Operat costs for new house cl V)</t>
  </si>
  <si>
    <t xml:space="preserve">      Afective Tax rate =&gt;</t>
  </si>
  <si>
    <t>red house</t>
  </si>
  <si>
    <t>tax</t>
  </si>
  <si>
    <t>florida</t>
  </si>
  <si>
    <t>LRHopCsts</t>
  </si>
  <si>
    <t>Actuall Value</t>
  </si>
  <si>
    <t>After Inflation</t>
  </si>
  <si>
    <t>or, value discounted</t>
  </si>
  <si>
    <t>for  inflation</t>
  </si>
  <si>
    <t>Start of year assets</t>
  </si>
  <si>
    <t>RATION OR IRA TO REG MONEY</t>
  </si>
  <si>
    <t>Add Tax</t>
  </si>
  <si>
    <t>Tax IRAminDist</t>
  </si>
  <si>
    <t>O, Income</t>
  </si>
  <si>
    <t xml:space="preserve">   Growth Decline Per Year</t>
  </si>
  <si>
    <t>Lower Limit</t>
  </si>
  <si>
    <t>Tax</t>
  </si>
  <si>
    <t>Standard</t>
  </si>
  <si>
    <t>Dag Lump Sum =&gt;</t>
  </si>
  <si>
    <t>(1/2way to ret date)</t>
  </si>
  <si>
    <t xml:space="preserve">IRAvREG </t>
  </si>
  <si>
    <t>IRA</t>
  </si>
  <si>
    <t>REG</t>
  </si>
  <si>
    <t>Ratio</t>
  </si>
  <si>
    <t>add reg</t>
  </si>
  <si>
    <t>Rate Of</t>
  </si>
  <si>
    <t>Withdrawal</t>
  </si>
  <si>
    <t>Increase/</t>
  </si>
  <si>
    <t>Decrease</t>
  </si>
  <si>
    <t>Percentage</t>
  </si>
  <si>
    <t>Paul SS</t>
  </si>
  <si>
    <t>Deflator</t>
  </si>
  <si>
    <t>Old Age</t>
  </si>
  <si>
    <t>Def Rate</t>
  </si>
  <si>
    <t>P SS</t>
  </si>
  <si>
    <t>BOTH HOUSES-NO MORTGAGES+BOAT</t>
  </si>
  <si>
    <t>Additional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</si>
</sst>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2" formatCode="_(&quot;$&quot;* #,##0_);_(&quot;$&quot;* \(#,##0\);_(&quot;$&quot;* &quot;-&quot;_);_(@_)"/>
    <numFmt numFmtId="164" formatCode="m/d/yy;@"/>
    <numFmt numFmtId="165" formatCode="&quot;$&quot;#,##0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3FFA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10" fontId="1" fillId="0" borderId="0" xfId="0" applyNumberFormat="1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left"/>
    </xf>
    <xf numFmtId="9" fontId="0" fillId="0" borderId="0" xfId="0" applyNumberFormat="1"/>
    <xf numFmtId="14" fontId="1" fillId="0" borderId="0" xfId="0" applyNumberFormat="1" applyFont="1"/>
    <xf numFmtId="14" fontId="0" fillId="0" borderId="0" xfId="0" applyNumberFormat="1"/>
    <xf numFmtId="1" fontId="0" fillId="0" borderId="0" xfId="0" applyNumberFormat="1"/>
    <xf numFmtId="0" fontId="2" fillId="0" borderId="0" xfId="0" applyFont="1"/>
    <xf numFmtId="164" fontId="2" fillId="0" borderId="0" xfId="0" applyNumberFormat="1" applyFont="1"/>
    <xf numFmtId="2" fontId="3" fillId="0" borderId="0" xfId="0" applyNumberFormat="1" applyFont="1"/>
    <xf numFmtId="2" fontId="0" fillId="0" borderId="0" xfId="0" applyNumberFormat="1"/>
    <xf numFmtId="165" fontId="0" fillId="0" borderId="0" xfId="0" applyNumberFormat="1"/>
    <xf numFmtId="6" fontId="1" fillId="0" borderId="0" xfId="0" applyNumberFormat="1" applyFont="1" applyAlignment="1">
      <alignment horizontal="right"/>
    </xf>
    <xf numFmtId="165" fontId="4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right"/>
    </xf>
    <xf numFmtId="42" fontId="1" fillId="0" borderId="0" xfId="0" applyNumberFormat="1" applyFont="1"/>
    <xf numFmtId="0" fontId="0" fillId="0" borderId="0" xfId="0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1" fillId="0" borderId="0" xfId="0" applyFont="1" applyFill="1"/>
    <xf numFmtId="14" fontId="0" fillId="0" borderId="0" xfId="0" applyNumberFormat="1" applyFill="1"/>
    <xf numFmtId="165" fontId="0" fillId="0" borderId="0" xfId="0" applyNumberFormat="1" applyFill="1"/>
    <xf numFmtId="3" fontId="0" fillId="0" borderId="0" xfId="0" applyNumberFormat="1" applyFill="1"/>
    <xf numFmtId="10" fontId="0" fillId="0" borderId="0" xfId="0" applyNumberFormat="1"/>
    <xf numFmtId="10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165" fontId="0" fillId="3" borderId="0" xfId="0" applyNumberFormat="1" applyFill="1"/>
    <xf numFmtId="0" fontId="0" fillId="4" borderId="0" xfId="0" applyFill="1" applyAlignment="1">
      <alignment horizontal="right"/>
    </xf>
    <xf numFmtId="166" fontId="0" fillId="0" borderId="0" xfId="0" applyNumberFormat="1"/>
    <xf numFmtId="1" fontId="1" fillId="0" borderId="0" xfId="0" applyNumberFormat="1" applyFont="1"/>
    <xf numFmtId="1" fontId="0" fillId="2" borderId="0" xfId="0" applyNumberFormat="1" applyFill="1"/>
    <xf numFmtId="0" fontId="6" fillId="0" borderId="0" xfId="0" applyFont="1"/>
    <xf numFmtId="0" fontId="4" fillId="0" borderId="0" xfId="0" applyFont="1" applyAlignment="1">
      <alignment horizontal="right"/>
    </xf>
    <xf numFmtId="0" fontId="7" fillId="5" borderId="0" xfId="0" applyFont="1" applyFill="1"/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53FF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0"/>
  <sheetViews>
    <sheetView tabSelected="1" topLeftCell="AI1" zoomScale="76" zoomScaleNormal="76" workbookViewId="0">
      <selection activeCell="BI2" sqref="BI2"/>
    </sheetView>
  </sheetViews>
  <sheetFormatPr defaultRowHeight="14.4" x14ac:dyDescent="0.3"/>
  <cols>
    <col min="1" max="1" width="14.109375" style="23" hidden="1" customWidth="1"/>
    <col min="2" max="4" width="13" style="23" hidden="1" customWidth="1"/>
    <col min="5" max="9" width="8.88671875" style="23" hidden="1" customWidth="1"/>
    <col min="10" max="12" width="11.6640625" style="23" hidden="1" customWidth="1"/>
    <col min="13" max="18" width="8.88671875" style="23" hidden="1" customWidth="1"/>
    <col min="19" max="22" width="10" style="23" hidden="1" customWidth="1"/>
    <col min="23" max="26" width="9.109375" hidden="1" customWidth="1"/>
    <col min="27" max="28" width="8.88671875" hidden="1" customWidth="1"/>
    <col min="29" max="29" width="11.5546875" hidden="1" customWidth="1"/>
    <col min="30" max="30" width="11.6640625" hidden="1" customWidth="1"/>
    <col min="31" max="34" width="9.109375" hidden="1" customWidth="1"/>
    <col min="35" max="35" width="5.33203125" customWidth="1"/>
    <col min="36" max="36" width="7.5546875" customWidth="1"/>
    <col min="37" max="37" width="9" bestFit="1" customWidth="1"/>
    <col min="38" max="38" width="9.44140625" hidden="1" customWidth="1"/>
    <col min="39" max="39" width="4.109375" bestFit="1" customWidth="1"/>
    <col min="40" max="40" width="9.44140625" customWidth="1"/>
    <col min="41" max="41" width="9.44140625" hidden="1" customWidth="1"/>
    <col min="42" max="42" width="4.6640625" customWidth="1"/>
    <col min="43" max="43" width="9.44140625" customWidth="1"/>
    <col min="44" max="44" width="12" customWidth="1"/>
    <col min="45" max="45" width="11.6640625" hidden="1" customWidth="1"/>
    <col min="46" max="46" width="8.88671875" customWidth="1"/>
    <col min="47" max="47" width="18.88671875" bestFit="1" customWidth="1"/>
    <col min="48" max="48" width="1.44140625" customWidth="1"/>
    <col min="49" max="49" width="9.44140625" customWidth="1"/>
    <col min="50" max="50" width="11.44140625" customWidth="1"/>
    <col min="51" max="51" width="12.33203125" bestFit="1" customWidth="1"/>
    <col min="52" max="52" width="10" customWidth="1"/>
    <col min="53" max="53" width="9.44140625" customWidth="1"/>
    <col min="54" max="54" width="10.5546875" bestFit="1" customWidth="1"/>
    <col min="55" max="55" width="11" bestFit="1" customWidth="1"/>
    <col min="56" max="56" width="11.88671875" customWidth="1"/>
    <col min="57" max="57" width="8.44140625" customWidth="1"/>
    <col min="58" max="58" width="16.33203125" bestFit="1" customWidth="1"/>
    <col min="59" max="59" width="10.88671875" customWidth="1"/>
    <col min="60" max="60" width="10" bestFit="1" customWidth="1"/>
    <col min="61" max="61" width="11.88671875" customWidth="1"/>
    <col min="62" max="62" width="10.5546875" style="23" customWidth="1"/>
    <col min="63" max="63" width="12.109375" bestFit="1" customWidth="1"/>
    <col min="64" max="64" width="14.109375" bestFit="1" customWidth="1"/>
    <col min="65" max="65" width="3.88671875" style="23" customWidth="1"/>
    <col min="66" max="66" width="12.88671875" bestFit="1" customWidth="1"/>
    <col min="67" max="67" width="10.44140625" bestFit="1" customWidth="1"/>
    <col min="68" max="68" width="2.44140625" customWidth="1"/>
    <col min="71" max="71" width="11.33203125" bestFit="1" customWidth="1"/>
    <col min="73" max="73" width="10.33203125" customWidth="1"/>
  </cols>
  <sheetData>
    <row r="1" spans="1:73" x14ac:dyDescent="0.3">
      <c r="AC1" s="16">
        <f>MAX(AY5:AY40)</f>
        <v>0</v>
      </c>
      <c r="AD1" t="s">
        <v>30</v>
      </c>
      <c r="AE1" s="16">
        <v>10000</v>
      </c>
      <c r="AF1">
        <f>IF(BF2=0,AE1,0)</f>
        <v>10000</v>
      </c>
      <c r="AJ1" t="s">
        <v>36</v>
      </c>
      <c r="AN1" s="4">
        <v>0.17</v>
      </c>
      <c r="AQ1" s="18">
        <v>57500</v>
      </c>
      <c r="AR1" t="s">
        <v>31</v>
      </c>
      <c r="AT1" s="32" t="s">
        <v>54</v>
      </c>
      <c r="AU1" s="21">
        <v>0</v>
      </c>
      <c r="AX1" t="s">
        <v>35</v>
      </c>
      <c r="BA1" t="s">
        <v>26</v>
      </c>
      <c r="BB1" s="17">
        <v>460000</v>
      </c>
      <c r="BC1" s="2" t="s">
        <v>40</v>
      </c>
      <c r="BD1" t="s">
        <v>72</v>
      </c>
      <c r="BE1" s="19"/>
      <c r="BF1" s="19">
        <v>230000</v>
      </c>
      <c r="BG1" t="s">
        <v>55</v>
      </c>
      <c r="BH1" s="33" t="s">
        <v>56</v>
      </c>
      <c r="BI1" s="30">
        <v>0.75</v>
      </c>
      <c r="BJ1" s="23" t="s">
        <v>50</v>
      </c>
      <c r="BL1" s="31">
        <v>0</v>
      </c>
      <c r="BN1" s="2" t="s">
        <v>41</v>
      </c>
      <c r="BQ1" s="23" t="s">
        <v>53</v>
      </c>
      <c r="BU1" t="s">
        <v>63</v>
      </c>
    </row>
    <row r="2" spans="1:73" ht="18" x14ac:dyDescent="0.35">
      <c r="G2" s="23" t="s">
        <v>46</v>
      </c>
      <c r="J2" s="30">
        <f>BI1</f>
        <v>0.75</v>
      </c>
      <c r="AG2">
        <f>0.08*(AK3-66)</f>
        <v>0</v>
      </c>
      <c r="AI2" s="39">
        <v>1</v>
      </c>
      <c r="AJ2" t="s">
        <v>69</v>
      </c>
      <c r="AK2" s="13">
        <v>19959</v>
      </c>
      <c r="AL2" s="12"/>
      <c r="AM2" s="12"/>
      <c r="AN2" s="13">
        <v>22037</v>
      </c>
      <c r="AO2" s="12"/>
      <c r="AP2" s="12"/>
      <c r="AQ2" s="13">
        <v>36939</v>
      </c>
      <c r="AR2" s="3" t="s">
        <v>18</v>
      </c>
      <c r="AT2" s="4">
        <v>0.08</v>
      </c>
      <c r="AU2" s="37"/>
      <c r="AW2" t="s">
        <v>19</v>
      </c>
      <c r="AX2" s="3"/>
      <c r="AY2" s="14">
        <f ca="1">DATEDIF(TODAY(),AR5,"m")/12</f>
        <v>2.0833333333333335</v>
      </c>
      <c r="AZ2" s="38">
        <f ca="1">(AR5-1)-TODAY()</f>
        <v>764</v>
      </c>
      <c r="BA2" t="s">
        <v>20</v>
      </c>
      <c r="BB2" s="17">
        <v>500000</v>
      </c>
      <c r="BC2" s="3">
        <v>42000</v>
      </c>
      <c r="BD2" t="s">
        <v>21</v>
      </c>
      <c r="BF2" s="19">
        <v>0</v>
      </c>
      <c r="BG2" t="s">
        <v>22</v>
      </c>
      <c r="BH2" s="19">
        <v>150000</v>
      </c>
      <c r="BI2" s="3">
        <v>0</v>
      </c>
      <c r="BJ2" t="s">
        <v>23</v>
      </c>
      <c r="BK2" t="s">
        <v>51</v>
      </c>
      <c r="BL2" s="31">
        <v>0</v>
      </c>
      <c r="BN2" s="2" t="s">
        <v>42</v>
      </c>
      <c r="BQ2" s="23" t="s">
        <v>25</v>
      </c>
      <c r="BS2" s="2" t="s">
        <v>61</v>
      </c>
      <c r="BU2" t="s">
        <v>64</v>
      </c>
    </row>
    <row r="3" spans="1:73" x14ac:dyDescent="0.3">
      <c r="V3" s="23" t="s">
        <v>68</v>
      </c>
      <c r="Y3" t="s">
        <v>37</v>
      </c>
      <c r="Z3" t="s">
        <v>39</v>
      </c>
      <c r="AE3" t="s">
        <v>16</v>
      </c>
      <c r="AG3">
        <f>IF(AND(AK3&lt;=70,AK3&gt;=66),1+AG2,0)</f>
        <v>1</v>
      </c>
      <c r="AI3" s="20" t="s">
        <v>32</v>
      </c>
      <c r="AJ3" s="40" t="s">
        <v>70</v>
      </c>
      <c r="AK3" s="2">
        <v>66</v>
      </c>
      <c r="AL3" s="2"/>
      <c r="AM3" s="5" t="s">
        <v>11</v>
      </c>
      <c r="AN3" s="2"/>
      <c r="AO3" s="2"/>
      <c r="AP3" s="5" t="s">
        <v>11</v>
      </c>
      <c r="AQ3" s="2" t="s">
        <v>10</v>
      </c>
      <c r="AR3" s="4">
        <v>2.5000000000000001E-2</v>
      </c>
      <c r="AS3" s="2" t="s">
        <v>9</v>
      </c>
      <c r="AT3" s="4">
        <v>3.3000000000000002E-2</v>
      </c>
      <c r="AU3" s="6">
        <v>3620000</v>
      </c>
      <c r="AV3" s="3"/>
      <c r="AW3" s="2" t="s">
        <v>13</v>
      </c>
      <c r="AX3" s="7">
        <v>10</v>
      </c>
      <c r="AY3" s="5" t="s">
        <v>29</v>
      </c>
      <c r="AZ3" s="3">
        <f>107000+BC2</f>
        <v>149000</v>
      </c>
      <c r="BA3" s="41" t="s">
        <v>71</v>
      </c>
      <c r="BB3">
        <v>1</v>
      </c>
      <c r="BC3">
        <v>0.97</v>
      </c>
      <c r="BD3">
        <v>1</v>
      </c>
      <c r="BE3" s="3">
        <v>6000</v>
      </c>
      <c r="BF3" t="s">
        <v>15</v>
      </c>
      <c r="BI3" s="2" t="s">
        <v>25</v>
      </c>
      <c r="BJ3" s="2" t="s">
        <v>49</v>
      </c>
      <c r="BK3" s="2"/>
      <c r="BL3" s="2" t="s">
        <v>27</v>
      </c>
      <c r="BM3" s="2"/>
      <c r="BN3" t="s">
        <v>43</v>
      </c>
      <c r="BQ3" s="23" t="s">
        <v>52</v>
      </c>
      <c r="BS3" s="2" t="s">
        <v>62</v>
      </c>
      <c r="BU3" t="s">
        <v>65</v>
      </c>
    </row>
    <row r="4" spans="1:73" x14ac:dyDescent="0.3">
      <c r="A4" s="23" t="s">
        <v>57</v>
      </c>
      <c r="B4" s="23" t="s">
        <v>58</v>
      </c>
      <c r="C4" s="23" t="s">
        <v>60</v>
      </c>
      <c r="D4" s="23" t="s">
        <v>59</v>
      </c>
      <c r="L4" s="23" t="s">
        <v>47</v>
      </c>
      <c r="V4" s="23" t="s">
        <v>67</v>
      </c>
      <c r="Y4" t="s">
        <v>38</v>
      </c>
      <c r="Z4" t="s">
        <v>38</v>
      </c>
      <c r="AE4" s="8">
        <v>0.85</v>
      </c>
      <c r="AI4" s="20" t="s">
        <v>23</v>
      </c>
      <c r="AJ4" s="20" t="s">
        <v>23</v>
      </c>
      <c r="AK4" s="2" t="s">
        <v>6</v>
      </c>
      <c r="AL4" s="2"/>
      <c r="AM4" s="5">
        <v>88</v>
      </c>
      <c r="AN4" s="2" t="s">
        <v>5</v>
      </c>
      <c r="AO4" s="2"/>
      <c r="AP4" s="5">
        <v>95</v>
      </c>
      <c r="AQ4" s="2" t="s">
        <v>4</v>
      </c>
      <c r="AR4" s="2" t="s">
        <v>17</v>
      </c>
      <c r="AS4" s="20" t="s">
        <v>33</v>
      </c>
      <c r="AU4" s="2" t="s">
        <v>45</v>
      </c>
      <c r="AW4" s="2"/>
      <c r="AX4" s="2" t="s">
        <v>2</v>
      </c>
      <c r="AY4" s="2" t="s">
        <v>14</v>
      </c>
      <c r="AZ4" s="2" t="s">
        <v>3</v>
      </c>
      <c r="BA4" s="2" t="s">
        <v>12</v>
      </c>
      <c r="BB4" s="2" t="s">
        <v>66</v>
      </c>
      <c r="BC4" s="2" t="s">
        <v>0</v>
      </c>
      <c r="BD4" s="2" t="s">
        <v>8</v>
      </c>
      <c r="BE4" s="2" t="s">
        <v>7</v>
      </c>
      <c r="BF4" s="2" t="s">
        <v>48</v>
      </c>
      <c r="BG4" s="2" t="s">
        <v>1</v>
      </c>
      <c r="BH4" s="2" t="s">
        <v>22</v>
      </c>
      <c r="BI4" s="2" t="s">
        <v>24</v>
      </c>
      <c r="BJ4" s="35">
        <v>1</v>
      </c>
      <c r="BK4" s="2" t="s">
        <v>34</v>
      </c>
      <c r="BL4" s="2" t="s">
        <v>28</v>
      </c>
      <c r="BM4" s="2"/>
      <c r="BN4" s="2" t="s">
        <v>44</v>
      </c>
      <c r="BQ4" s="16">
        <f>Y5+Z5</f>
        <v>25330</v>
      </c>
      <c r="BS4" s="30">
        <f ca="1">(BI5*-1)/AU5</f>
        <v>2.5032383185960804E-2</v>
      </c>
      <c r="BU4">
        <f>0</f>
        <v>0</v>
      </c>
    </row>
    <row r="5" spans="1:73" x14ac:dyDescent="0.3">
      <c r="A5" s="36">
        <f t="shared" ref="A5:A40" ca="1" si="0">AU5*J$2</f>
        <v>3374049.5011025937</v>
      </c>
      <c r="B5" s="36">
        <f t="shared" ref="B5:B40" ca="1" si="1">AU5-A5</f>
        <v>1124683.1670341976</v>
      </c>
      <c r="C5" s="36">
        <v>0</v>
      </c>
      <c r="D5" s="30">
        <f ca="1">A5/AU5</f>
        <v>0.75</v>
      </c>
      <c r="F5" s="23">
        <v>0</v>
      </c>
      <c r="G5" s="23">
        <v>0</v>
      </c>
      <c r="J5" s="16">
        <f>IF(I5&gt;0,AU5*$J$2/I5,0)</f>
        <v>0</v>
      </c>
      <c r="K5" s="16">
        <f t="shared" ref="K5:K40" si="2">IF(J5-AZ5&gt;0,J5-AZ5,0)</f>
        <v>0</v>
      </c>
      <c r="L5" s="16">
        <f>K5*R5</f>
        <v>0</v>
      </c>
      <c r="M5" s="23">
        <f>IF(K5&gt;100000,0.02,0)</f>
        <v>0</v>
      </c>
      <c r="N5" s="23">
        <f>IF(K5&gt;300000,0.03,0)</f>
        <v>0</v>
      </c>
      <c r="O5" s="23">
        <f>IF(K5&gt;500000,0.06,0)</f>
        <v>0</v>
      </c>
      <c r="P5" s="23">
        <f>IF(K5&gt;700000,0.06,0)</f>
        <v>0</v>
      </c>
      <c r="Q5" s="23">
        <f>IF(K5&gt;700000,0.08,0)</f>
        <v>0</v>
      </c>
      <c r="R5" s="30">
        <f>SUM(M5:Q5)+AN$1</f>
        <v>0.17</v>
      </c>
      <c r="S5" s="23">
        <f>IF(AY5&gt;0,AY5,0)</f>
        <v>0</v>
      </c>
      <c r="T5" s="23">
        <f>IF(S5*0.03&gt;0,S5*0.03,0)</f>
        <v>0</v>
      </c>
      <c r="V5" s="23">
        <v>0</v>
      </c>
      <c r="W5">
        <f>IF(AI5&lt;=AX$3,AZ$3-BC$2,0)</f>
        <v>107000</v>
      </c>
      <c r="X5">
        <f>IF(AI5&lt;=AX$3,BC2,0)</f>
        <v>42000</v>
      </c>
      <c r="Y5">
        <f>IF(AI5&lt;AX$3,BC$2*AN$1,0)</f>
        <v>7140.0000000000009</v>
      </c>
      <c r="Z5">
        <f>(AZ$3-BC$2)*AN1</f>
        <v>18190</v>
      </c>
      <c r="AA5">
        <f>IF(AY5&gt;0,1,0)</f>
        <v>0</v>
      </c>
      <c r="AB5">
        <f>IF(AY5&gt;1,,0)</f>
        <v>0</v>
      </c>
      <c r="AC5" t="str">
        <f t="shared" ref="AC5:AC40" ca="1" si="3">IF(BL5&lt;0,"BROKE","DECLINE")</f>
        <v>DECLINE</v>
      </c>
      <c r="AD5">
        <f>IF(AF5=0,1,0)</f>
        <v>1</v>
      </c>
      <c r="AE5" s="23">
        <f>IF(AL5*AO5=0,$AE$4,1)</f>
        <v>1</v>
      </c>
      <c r="AF5">
        <f>IF(AX5&gt;0,AF4+1,AF4)</f>
        <v>0</v>
      </c>
      <c r="AH5">
        <f>IF(AL5+AO5&gt;0,1,0)</f>
        <v>1</v>
      </c>
      <c r="AI5">
        <v>1</v>
      </c>
      <c r="AJ5" s="15">
        <f ca="1">DATEDIF(TODAY(),AR5,"m")/12</f>
        <v>2.0833333333333335</v>
      </c>
      <c r="AK5" s="11">
        <f>DATEDIF(AK2,AR5,"Y")</f>
        <v>66</v>
      </c>
      <c r="AL5">
        <f>IF(AK5&lt;$AM$4,1,0)</f>
        <v>1</v>
      </c>
      <c r="AM5" s="3" t="str">
        <f>IF(AK5&gt;=$AM$4,$AM$3,"")</f>
        <v/>
      </c>
      <c r="AN5">
        <f>DATEDIF(AN2,AR5,"Y")</f>
        <v>60</v>
      </c>
      <c r="AO5">
        <f>IF(AN5&lt;$AP$4,1,0)</f>
        <v>1</v>
      </c>
      <c r="AP5" s="3" t="str">
        <f>IF(AN5&gt;=$AP$4,$AP$3,"")</f>
        <v/>
      </c>
      <c r="AQ5">
        <f>DATEDIF(AQ2,AR5,"Y")</f>
        <v>19</v>
      </c>
      <c r="AR5" s="9">
        <v>44197</v>
      </c>
      <c r="AS5">
        <v>1</v>
      </c>
      <c r="AT5" s="30">
        <f>AT3</f>
        <v>3.3000000000000002E-2</v>
      </c>
      <c r="AU5" s="16">
        <f ca="1">(AU3*((1+AT2)^AY2))+(AX5+BJ5+AU1)-(AY5+BF2)+(BF1*((1+AT2)^(AY2/2)))</f>
        <v>4498732.6681367913</v>
      </c>
      <c r="AV5" s="1"/>
      <c r="AW5" s="1"/>
      <c r="AX5" s="16">
        <f t="shared" ref="AX5:AX40" si="4">IF(AS5=$AX$3,$BB$2*((1+($AR$3*1.5))^AJ5),0)</f>
        <v>0</v>
      </c>
      <c r="AY5" s="16"/>
      <c r="AZ5" s="1">
        <f>((W5+X5+Y5+Z5)*AE5*AH5)+(T5)</f>
        <v>174330</v>
      </c>
      <c r="BA5" s="16">
        <f>IF(AND(AQ5&gt;=17,AQ5&lt;=20),$AQ$1,0)</f>
        <v>57500</v>
      </c>
      <c r="BB5" s="16">
        <f>IF(AK5=AK3,2346*AG3*12*AL5*BB3,0)</f>
        <v>28152</v>
      </c>
      <c r="BC5" s="16">
        <f>IF(AN5=67,1297*12*AO5*BC3,0)</f>
        <v>0</v>
      </c>
      <c r="BD5" s="16">
        <f>27564*BD3</f>
        <v>27564</v>
      </c>
      <c r="BE5" s="16">
        <f>IF(AF5&gt;0,0,$BE$3)</f>
        <v>6000</v>
      </c>
      <c r="BF5" s="16">
        <f>L5*-1</f>
        <v>0</v>
      </c>
      <c r="BG5" s="16">
        <f>SUM(BB5:BE5)+BH5</f>
        <v>61716</v>
      </c>
      <c r="BH5" s="16">
        <f t="shared" ref="BH5:BH40" si="5">IF($BI$2&gt;=AS5,$BH$2,0)</f>
        <v>0</v>
      </c>
      <c r="BI5" s="16">
        <f>(AZ5-BG5)*-1</f>
        <v>-112614</v>
      </c>
      <c r="BJ5" s="34">
        <v>0</v>
      </c>
      <c r="BK5" s="16">
        <v>0</v>
      </c>
      <c r="BL5" s="16">
        <f t="shared" ref="BL5:BL40" ca="1" si="6">($BB$1*((1+($AR$3*1.5))^AJ5))+(($BB$2*((1+($AR$3*1.5))^AJ5))*AD5)+($AC$1*((1+($AR$3*1.5))^(AA5-1))*AB5)+AU5</f>
        <v>5535257.6791058509</v>
      </c>
      <c r="BM5" s="16"/>
      <c r="BN5" s="16">
        <f ca="1">BL5</f>
        <v>5535257.6791058509</v>
      </c>
      <c r="BQ5" s="16">
        <f t="shared" ref="BQ5:BQ40" si="7">Y6+Z6</f>
        <v>25963.25</v>
      </c>
      <c r="BS5" s="30">
        <f t="shared" ref="BS5:BS39" ca="1" si="8">(BI6*-1)/AU6</f>
        <v>2.590166256982572E-2</v>
      </c>
      <c r="BU5" s="30">
        <f ca="1">(AU6/AU5)-1</f>
        <v>-6.0616146730897436E-3</v>
      </c>
    </row>
    <row r="6" spans="1:73" x14ac:dyDescent="0.3">
      <c r="A6" s="36">
        <f t="shared" ca="1" si="0"/>
        <v>3353597.3131389786</v>
      </c>
      <c r="B6" s="36">
        <f t="shared" ca="1" si="1"/>
        <v>1117865.7710463265</v>
      </c>
      <c r="C6" s="36">
        <f>(BH5+BE5+AX5+BJ5)</f>
        <v>6000</v>
      </c>
      <c r="D6" s="30">
        <f ca="1">1-((B6+C6)/AU6)</f>
        <v>0.74865815732187946</v>
      </c>
      <c r="E6" s="23">
        <f>IF(BL1&gt;0,F6,AT$3)</f>
        <v>3.3000000000000002E-2</v>
      </c>
      <c r="F6" s="30">
        <f>IF(AT3-BL$1&gt;BL$2,AT3-BL$1,BL$2)</f>
        <v>3.3000000000000002E-2</v>
      </c>
      <c r="G6" s="23">
        <v>0</v>
      </c>
      <c r="J6" s="16">
        <f>IF(I6&gt;0,AU6*D6/I6,0)</f>
        <v>0</v>
      </c>
      <c r="K6" s="16">
        <f t="shared" si="2"/>
        <v>0</v>
      </c>
      <c r="L6" s="16">
        <f t="shared" ref="L6:L40" si="9">K6*R6</f>
        <v>0</v>
      </c>
      <c r="M6" s="23">
        <f t="shared" ref="M6:M14" si="10">IF(K6&gt;100000,0.02,0)</f>
        <v>0</v>
      </c>
      <c r="N6" s="23">
        <f t="shared" ref="N6:N14" si="11">IF(K6&gt;300000,0.03,0)</f>
        <v>0</v>
      </c>
      <c r="O6" s="23">
        <f t="shared" ref="O6:O14" si="12">IF(K6&gt;500000,0.06,0)</f>
        <v>0</v>
      </c>
      <c r="P6" s="23">
        <f t="shared" ref="P6:P14" si="13">IF(K6&gt;700000,0.06,0)</f>
        <v>0</v>
      </c>
      <c r="Q6" s="23">
        <f t="shared" ref="Q6:Q14" si="14">IF(K6&gt;700000,0.08,0)</f>
        <v>0</v>
      </c>
      <c r="R6" s="30">
        <f t="shared" ref="R6:R14" si="15">SUM(M6:Q6)+AN$1</f>
        <v>0.17</v>
      </c>
      <c r="S6" s="23">
        <f t="shared" ref="S6:S11" si="16">IF(AY6&lt;&gt;0,AY6+S5,S5)</f>
        <v>0</v>
      </c>
      <c r="T6" s="23">
        <f t="shared" ref="T6:T40" si="17">IF(S6*0.03&gt;0,S6*0.03,0)</f>
        <v>0</v>
      </c>
      <c r="V6" s="30">
        <f>IF((V5+0.0001)*$AI$2&gt;0.01,0.01,(V5+0.0001)*$AI$2)</f>
        <v>1E-4</v>
      </c>
      <c r="W6">
        <f>(AZ$3-BC$2)*((1+(AR$3-V6))^AI5)</f>
        <v>109664.29999999999</v>
      </c>
      <c r="X6">
        <f t="shared" ref="X6:X40" si="18">IF(AI6&lt;=AX$3,BC$2*((1+AR$3)^AI5),0)</f>
        <v>43049.999999999993</v>
      </c>
      <c r="Y6">
        <f t="shared" ref="Y6:Y40" si="19">IF(AI6&lt;=AX$3,BC$2*((1+AR$3)^AS5)*AN$1,0)</f>
        <v>7318.4999999999991</v>
      </c>
      <c r="Z6">
        <f t="shared" ref="Z6:Z40" si="20">(AZ$3-BC$2)*((1+AR$3)^AS5)*AN$1</f>
        <v>18644.75</v>
      </c>
      <c r="AA6">
        <f>IF(MAX(AY$5:AY6)&gt;1,AA5+1,0)</f>
        <v>0</v>
      </c>
      <c r="AB6">
        <f>IF(MAX(AY$5:AY6)&gt;1,1,0)</f>
        <v>0</v>
      </c>
      <c r="AC6" t="str">
        <f t="shared" ca="1" si="3"/>
        <v>DECLINE</v>
      </c>
      <c r="AD6">
        <f t="shared" ref="AD6:AD40" si="21">IF(AF6=0,1,0)</f>
        <v>1</v>
      </c>
      <c r="AE6" s="23">
        <f t="shared" ref="AE6:AE40" si="22">IF(AL6*AO6=0,$AE$4,1)</f>
        <v>1</v>
      </c>
      <c r="AF6">
        <f t="shared" ref="AF6:AF40" si="23">IF(AX6&gt;0,AF5+1,AF5)</f>
        <v>0</v>
      </c>
      <c r="AH6">
        <f t="shared" ref="AH6:AH40" si="24">IF(AL6+AO6&gt;0,1,0)</f>
        <v>1</v>
      </c>
      <c r="AI6">
        <f>AI5+1</f>
        <v>2</v>
      </c>
      <c r="AJ6" s="15">
        <f t="shared" ref="AJ6:AJ40" ca="1" si="25">DATEDIF(TODAY(),AR6,"m")/12</f>
        <v>3.0833333333333335</v>
      </c>
      <c r="AK6">
        <f t="shared" ref="AK6:AK33" si="26">AK5+1</f>
        <v>67</v>
      </c>
      <c r="AL6">
        <f>IF(AK6&lt;$AM$4,1,0)</f>
        <v>1</v>
      </c>
      <c r="AM6" s="3" t="str">
        <f>IF(AK6&gt;=$AM$4,$AM$3,"")</f>
        <v/>
      </c>
      <c r="AN6">
        <f t="shared" ref="AN6:AN33" si="27">AN5+1</f>
        <v>61</v>
      </c>
      <c r="AO6">
        <f>IF(AN6&lt;$AP$4,1,0)</f>
        <v>1</v>
      </c>
      <c r="AP6" s="3" t="str">
        <f t="shared" ref="AP6:AP40" si="28">IF(AN6&gt;=$AP$4,$AP$3,"")</f>
        <v/>
      </c>
      <c r="AQ6">
        <f t="shared" ref="AQ6:AQ33" si="29">AQ5+1</f>
        <v>20</v>
      </c>
      <c r="AR6" s="10">
        <f>DATE(YEAR(AR5)+1,MONTH(AR5),DAY(AR5))</f>
        <v>44562</v>
      </c>
      <c r="AS6">
        <f>AS5+1</f>
        <v>2</v>
      </c>
      <c r="AT6" s="30">
        <f>F6</f>
        <v>3.3000000000000002E-2</v>
      </c>
      <c r="AU6" s="16">
        <f ca="1">((AU5-((BI5*-1)+BA5))*(1+F6))+(AX6+BJ6)-AY6</f>
        <v>4471463.0841853051</v>
      </c>
      <c r="AV6" s="1"/>
      <c r="AW6" s="1" t="str">
        <f ca="1">IF(AU6&lt;AU5,AC6,"")</f>
        <v>DECLINE</v>
      </c>
      <c r="AX6" s="16">
        <f>IF(AS6=$AX$3,$BB$2*((1+($AR$3*1.5))^AJ6),0)</f>
        <v>0</v>
      </c>
      <c r="AY6" s="16"/>
      <c r="AZ6" s="1">
        <f>((W6+X6+Y6+Z6)*AE6*AH6)+(T6)</f>
        <v>178677.55</v>
      </c>
      <c r="BA6" s="16">
        <f t="shared" ref="BA6:BA40" si="30">IF(AND(AQ6&gt;=17,AQ6&lt;=20),$AQ$1,0)</f>
        <v>57500</v>
      </c>
      <c r="BB6" s="28">
        <f>IF(AK6=$AK$3,2346*AG$3*12*AL6*BB$3,BB5*(1+$AR$3)*AL6)</f>
        <v>28855.8</v>
      </c>
      <c r="BC6" s="16">
        <f>IF(AN6=67,1297*12*AO6*BC$3,BC5*(1+$AR$3)*AO6)</f>
        <v>0</v>
      </c>
      <c r="BD6" s="16">
        <f>BD5*1.0105*AO6</f>
        <v>27853.421999999999</v>
      </c>
      <c r="BE6" s="16">
        <f>IF(AF6&gt;0,0,$BE$3*((1+$AR$3)^AS5))</f>
        <v>6149.9999999999991</v>
      </c>
      <c r="BF6" s="16">
        <f t="shared" ref="BF6:BF40" si="31">L6*-1</f>
        <v>0</v>
      </c>
      <c r="BG6" s="16">
        <f t="shared" ref="BG6:BG40" si="32">SUM(BB6:BE6)+BH6</f>
        <v>62859.221999999994</v>
      </c>
      <c r="BH6" s="16">
        <f t="shared" si="5"/>
        <v>0</v>
      </c>
      <c r="BI6" s="16">
        <f t="shared" ref="BI6:BI40" si="33">(AZ6-BG6+L6)*-1</f>
        <v>-115818.32799999999</v>
      </c>
      <c r="BJ6" s="16">
        <f>IF(AI6&lt;$BJ$4,BJ5,0)</f>
        <v>0</v>
      </c>
      <c r="BK6" s="16">
        <f ca="1">AU6-AU5</f>
        <v>-27269.583951486275</v>
      </c>
      <c r="BL6" s="16">
        <f t="shared" ca="1" si="6"/>
        <v>5546857.7830657046</v>
      </c>
      <c r="BM6" s="16"/>
      <c r="BN6" s="16">
        <f t="shared" ref="BN6:BN40" ca="1" si="34">BL6/((1+AR$3)^AS5)</f>
        <v>5411568.5688445903</v>
      </c>
      <c r="BO6" s="22"/>
      <c r="BQ6" s="16">
        <f t="shared" si="7"/>
        <v>26612.331249999999</v>
      </c>
      <c r="BS6" s="30">
        <f t="shared" ca="1" si="8"/>
        <v>2.6820991949670057E-2</v>
      </c>
      <c r="BU6" s="30">
        <f t="shared" ref="BU6:BU39" ca="1" si="35">(AU7/AU6)-1</f>
        <v>-7.0401008469067605E-3</v>
      </c>
    </row>
    <row r="7" spans="1:73" x14ac:dyDescent="0.3">
      <c r="A7" s="36">
        <f t="shared" ca="1" si="0"/>
        <v>3329987.649854565</v>
      </c>
      <c r="B7" s="36">
        <f t="shared" ca="1" si="1"/>
        <v>1109995.8832848547</v>
      </c>
      <c r="C7" s="36">
        <f>(BH6+BE6+AX6+BJ6)+C6</f>
        <v>12150</v>
      </c>
      <c r="D7" s="30">
        <f ca="1">1-((B7+C7)/AU7)</f>
        <v>0.74726350336452518</v>
      </c>
      <c r="E7" s="23">
        <f t="shared" ref="E7:E40" si="36">IF(BL2&gt;0,F7,AT$3)</f>
        <v>3.3000000000000002E-2</v>
      </c>
      <c r="F7" s="30">
        <f>IF(F6-BL$1&gt;BL$2,F6-BL$1,BL$2)</f>
        <v>3.3000000000000002E-2</v>
      </c>
      <c r="G7" s="23">
        <v>0</v>
      </c>
      <c r="J7" s="16">
        <f t="shared" ref="J7:J40" si="37">IF(I7&gt;0,AU7*D7/I7,0)</f>
        <v>0</v>
      </c>
      <c r="K7" s="16">
        <f t="shared" si="2"/>
        <v>0</v>
      </c>
      <c r="L7" s="16">
        <f t="shared" si="9"/>
        <v>0</v>
      </c>
      <c r="M7" s="23">
        <f t="shared" si="10"/>
        <v>0</v>
      </c>
      <c r="N7" s="23">
        <f t="shared" si="11"/>
        <v>0</v>
      </c>
      <c r="O7" s="23">
        <f t="shared" si="12"/>
        <v>0</v>
      </c>
      <c r="P7" s="23">
        <f t="shared" si="13"/>
        <v>0</v>
      </c>
      <c r="Q7" s="23">
        <f t="shared" si="14"/>
        <v>0</v>
      </c>
      <c r="R7" s="30">
        <f t="shared" si="15"/>
        <v>0.17</v>
      </c>
      <c r="S7" s="23">
        <f t="shared" si="16"/>
        <v>0</v>
      </c>
      <c r="T7" s="23">
        <f t="shared" si="17"/>
        <v>0</v>
      </c>
      <c r="V7" s="30">
        <f t="shared" ref="V7:V40" si="38">IF((V6+0.0001)*$AI$2&gt;0.01,0.01,(V6+0.0001)*$AI$2)</f>
        <v>2.0000000000000001E-4</v>
      </c>
      <c r="W7" s="23">
        <f>(AZ$3-BC$2)*((1+(AR$3-V7))^AI6)</f>
        <v>112373.00927999998</v>
      </c>
      <c r="X7">
        <f t="shared" si="18"/>
        <v>44126.25</v>
      </c>
      <c r="Y7">
        <f t="shared" si="19"/>
        <v>7501.4625000000005</v>
      </c>
      <c r="Z7">
        <f t="shared" si="20"/>
        <v>19110.868749999998</v>
      </c>
      <c r="AA7">
        <f>IF(MAX(AY$5:AY7)&gt;1,AA6+1,0)</f>
        <v>0</v>
      </c>
      <c r="AB7">
        <f>IF(MAX(AY$5:AY7)&gt;1,1,0)</f>
        <v>0</v>
      </c>
      <c r="AC7" t="str">
        <f t="shared" ca="1" si="3"/>
        <v>DECLINE</v>
      </c>
      <c r="AD7">
        <f t="shared" si="21"/>
        <v>1</v>
      </c>
      <c r="AE7" s="23">
        <f t="shared" si="22"/>
        <v>1</v>
      </c>
      <c r="AF7">
        <f t="shared" si="23"/>
        <v>0</v>
      </c>
      <c r="AH7">
        <f t="shared" si="24"/>
        <v>1</v>
      </c>
      <c r="AI7">
        <f t="shared" ref="AI7:AI40" si="39">AI6+1</f>
        <v>3</v>
      </c>
      <c r="AJ7" s="15">
        <f t="shared" ca="1" si="25"/>
        <v>4.083333333333333</v>
      </c>
      <c r="AK7">
        <f t="shared" si="26"/>
        <v>68</v>
      </c>
      <c r="AL7">
        <f t="shared" ref="AL7:AL40" si="40">IF(AK7&lt;$AM$4,1,0)</f>
        <v>1</v>
      </c>
      <c r="AM7" s="3" t="str">
        <f t="shared" ref="AM7:AM40" si="41">IF(AK7&gt;=$AM$4,$AM$3,"")</f>
        <v/>
      </c>
      <c r="AN7">
        <f t="shared" si="27"/>
        <v>62</v>
      </c>
      <c r="AO7">
        <f t="shared" ref="AO7:AO40" si="42">IF(AN7&lt;$AP$4,1,0)</f>
        <v>1</v>
      </c>
      <c r="AP7" s="3" t="str">
        <f t="shared" si="28"/>
        <v/>
      </c>
      <c r="AQ7">
        <f t="shared" si="29"/>
        <v>21</v>
      </c>
      <c r="AR7" s="10">
        <f t="shared" ref="AR7:AR40" si="43">DATE(YEAR(AR6)+1,MONTH(AR6),DAY(AR6))</f>
        <v>44927</v>
      </c>
      <c r="AS7">
        <f t="shared" ref="AS7:AS33" si="44">AS6+1</f>
        <v>3</v>
      </c>
      <c r="AT7" s="30">
        <f t="shared" ref="AT7:AT40" si="45">F7</f>
        <v>3.3000000000000002E-2</v>
      </c>
      <c r="AU7" s="16">
        <f t="shared" ref="AU7:AU40" ca="1" si="46">((AU6-((BI6*-1)+BA6))*(1+F7))+(AX7+BJ7)-AY7</f>
        <v>4439983.5331394197</v>
      </c>
      <c r="AV7" s="1"/>
      <c r="AW7" s="1" t="str">
        <f t="shared" ref="AW7:AW40" ca="1" si="47">IF(AU7&lt;AU6,AC7,"")</f>
        <v>DECLINE</v>
      </c>
      <c r="AX7" s="16">
        <f t="shared" si="4"/>
        <v>0</v>
      </c>
      <c r="AY7" s="16"/>
      <c r="AZ7" s="1">
        <f>((W7+X7+Y7+Z7)*AE7*AH7)+(T7)</f>
        <v>183111.59052999999</v>
      </c>
      <c r="BA7" s="16">
        <f t="shared" si="30"/>
        <v>0</v>
      </c>
      <c r="BB7" s="28">
        <f t="shared" ref="BB7:BB40" si="48">IF(AK7=$AK$3,2346*AG$3*12*AL7*BB$3,BB6*(1+$AR$3)*AL7)</f>
        <v>29577.194999999996</v>
      </c>
      <c r="BC7" s="16">
        <f t="shared" ref="BC7:BC40" si="49">IF(AN7=67,1297*12*AO7*BC$3,BC6*(1+$AR$3)*AO7)</f>
        <v>0</v>
      </c>
      <c r="BD7" s="16">
        <f t="shared" ref="BD7:BD40" si="50">BD6*1.0105*AO7</f>
        <v>28145.882930999996</v>
      </c>
      <c r="BE7" s="16">
        <f t="shared" ref="BE7:BE40" si="51">IF(AF7&gt;0,0,$BE$3*((1+$AR$3)^AS6))</f>
        <v>6303.7499999999991</v>
      </c>
      <c r="BF7" s="16">
        <f t="shared" si="31"/>
        <v>0</v>
      </c>
      <c r="BG7" s="16">
        <f t="shared" si="32"/>
        <v>64026.827930999993</v>
      </c>
      <c r="BH7" s="16">
        <f t="shared" si="5"/>
        <v>0</v>
      </c>
      <c r="BI7" s="16">
        <f t="shared" si="33"/>
        <v>-119084.76259899999</v>
      </c>
      <c r="BJ7" s="16">
        <f t="shared" ref="BJ7:BJ40" si="52">IF(AI7&lt;$BJ$4,BJ6,0)</f>
        <v>0</v>
      </c>
      <c r="BK7" s="16">
        <f t="shared" ref="BK7:BK40" ca="1" si="53">AU7-AU6</f>
        <v>-31479.55104588531</v>
      </c>
      <c r="BL7" s="16">
        <f t="shared" ca="1" si="6"/>
        <v>5555705.5332278339</v>
      </c>
      <c r="BM7" s="16"/>
      <c r="BN7" s="16">
        <f t="shared" ca="1" si="34"/>
        <v>5288000.5075339293</v>
      </c>
      <c r="BQ7" s="16">
        <f t="shared" si="7"/>
        <v>27277.639531249999</v>
      </c>
      <c r="BS7" s="30">
        <f t="shared" ca="1" si="8"/>
        <v>2.7425592263091433E-2</v>
      </c>
      <c r="BU7" s="30">
        <f t="shared" ca="1" si="35"/>
        <v>5.2939153159907715E-3</v>
      </c>
    </row>
    <row r="8" spans="1:73" s="24" customFormat="1" x14ac:dyDescent="0.3">
      <c r="A8" s="36">
        <f t="shared" ca="1" si="0"/>
        <v>3347616.3224761905</v>
      </c>
      <c r="B8" s="36">
        <f t="shared" ca="1" si="1"/>
        <v>1115872.1074920632</v>
      </c>
      <c r="C8" s="36">
        <f t="shared" ref="C8:C40" si="54">(BH7+BE7+AX7+BJ7)+C7</f>
        <v>18453.75</v>
      </c>
      <c r="D8" s="30">
        <f t="shared" ref="D8:D40" ca="1" si="55">1-((B8+C8)/AU8)</f>
        <v>0.74586562163439263</v>
      </c>
      <c r="E8" s="23">
        <f t="shared" si="36"/>
        <v>3.3000000000000002E-2</v>
      </c>
      <c r="F8" s="30">
        <f t="shared" ref="F8:F40" si="56">IF(F7-BL$1&gt;BL$2,F7-BL$1,BL$2)</f>
        <v>3.3000000000000002E-2</v>
      </c>
      <c r="G8" s="23">
        <v>0</v>
      </c>
      <c r="J8" s="16">
        <f t="shared" si="37"/>
        <v>0</v>
      </c>
      <c r="K8" s="16">
        <f t="shared" si="2"/>
        <v>0</v>
      </c>
      <c r="L8" s="16">
        <f t="shared" si="9"/>
        <v>0</v>
      </c>
      <c r="M8" s="23">
        <f t="shared" si="10"/>
        <v>0</v>
      </c>
      <c r="N8" s="23">
        <f t="shared" si="11"/>
        <v>0</v>
      </c>
      <c r="O8" s="23">
        <f t="shared" si="12"/>
        <v>0</v>
      </c>
      <c r="P8" s="23">
        <f t="shared" si="13"/>
        <v>0</v>
      </c>
      <c r="Q8" s="23">
        <f t="shared" si="14"/>
        <v>0</v>
      </c>
      <c r="R8" s="30">
        <f t="shared" si="15"/>
        <v>0.17</v>
      </c>
      <c r="S8" s="24">
        <f t="shared" si="16"/>
        <v>0</v>
      </c>
      <c r="T8" s="24">
        <f t="shared" si="17"/>
        <v>0</v>
      </c>
      <c r="V8" s="30">
        <f t="shared" si="38"/>
        <v>3.0000000000000003E-4</v>
      </c>
      <c r="W8" s="23">
        <f>(AZ$3-BC$2)*((1+(AR$3-V8))^AI7)</f>
        <v>115126.15129686096</v>
      </c>
      <c r="X8" s="24">
        <f t="shared" si="18"/>
        <v>45229.406249999993</v>
      </c>
      <c r="Y8" s="24">
        <f t="shared" si="19"/>
        <v>7688.9990624999991</v>
      </c>
      <c r="Z8" s="24">
        <f t="shared" si="20"/>
        <v>19588.64046875</v>
      </c>
      <c r="AA8" s="24">
        <f>IF(MAX(AY$5:AY8)&gt;1,AA7+1,0)</f>
        <v>0</v>
      </c>
      <c r="AB8" s="24">
        <f>IF(MAX(AY$5:AY8)&gt;1,1,0)</f>
        <v>0</v>
      </c>
      <c r="AC8" s="24" t="str">
        <f t="shared" ca="1" si="3"/>
        <v>DECLINE</v>
      </c>
      <c r="AD8" s="24">
        <f t="shared" si="21"/>
        <v>1</v>
      </c>
      <c r="AE8" s="23">
        <f t="shared" si="22"/>
        <v>1</v>
      </c>
      <c r="AF8" s="24">
        <f t="shared" si="23"/>
        <v>0</v>
      </c>
      <c r="AH8" s="24">
        <f t="shared" si="24"/>
        <v>1</v>
      </c>
      <c r="AI8" s="24">
        <f t="shared" si="39"/>
        <v>4</v>
      </c>
      <c r="AJ8" s="25">
        <f t="shared" ca="1" si="25"/>
        <v>5.083333333333333</v>
      </c>
      <c r="AK8" s="24">
        <f t="shared" si="26"/>
        <v>69</v>
      </c>
      <c r="AL8" s="24">
        <f t="shared" si="40"/>
        <v>1</v>
      </c>
      <c r="AM8" s="26" t="str">
        <f t="shared" si="41"/>
        <v/>
      </c>
      <c r="AN8" s="24">
        <f t="shared" si="27"/>
        <v>63</v>
      </c>
      <c r="AO8" s="24">
        <f t="shared" si="42"/>
        <v>1</v>
      </c>
      <c r="AP8" s="26" t="str">
        <f t="shared" si="28"/>
        <v/>
      </c>
      <c r="AQ8" s="24">
        <f t="shared" si="29"/>
        <v>22</v>
      </c>
      <c r="AR8" s="27">
        <f t="shared" si="43"/>
        <v>45292</v>
      </c>
      <c r="AS8" s="24">
        <f t="shared" si="44"/>
        <v>4</v>
      </c>
      <c r="AT8" s="30">
        <f t="shared" si="45"/>
        <v>3.3000000000000002E-2</v>
      </c>
      <c r="AU8" s="16">
        <f t="shared" ca="1" si="46"/>
        <v>4463488.4299682537</v>
      </c>
      <c r="AV8" s="29"/>
      <c r="AW8" s="29" t="str">
        <f t="shared" ca="1" si="47"/>
        <v/>
      </c>
      <c r="AX8" s="28">
        <f t="shared" si="4"/>
        <v>0</v>
      </c>
      <c r="AY8" s="28"/>
      <c r="AZ8" s="1">
        <f t="shared" ref="AZ8:AZ40" si="57">((W8+X8+Y8+Z8)*AE8*AH8)+(T8)</f>
        <v>187633.19707811094</v>
      </c>
      <c r="BA8" s="16">
        <f t="shared" si="30"/>
        <v>0</v>
      </c>
      <c r="BB8" s="28">
        <f t="shared" si="48"/>
        <v>30316.624874999994</v>
      </c>
      <c r="BC8" s="16">
        <f t="shared" si="49"/>
        <v>0</v>
      </c>
      <c r="BD8" s="16">
        <f t="shared" si="50"/>
        <v>28441.414701775495</v>
      </c>
      <c r="BE8" s="28">
        <f t="shared" si="51"/>
        <v>6461.3437499999991</v>
      </c>
      <c r="BF8" s="16">
        <f t="shared" si="31"/>
        <v>0</v>
      </c>
      <c r="BG8" s="28">
        <f t="shared" si="32"/>
        <v>65219.383326775489</v>
      </c>
      <c r="BH8" s="28">
        <f t="shared" si="5"/>
        <v>0</v>
      </c>
      <c r="BI8" s="16">
        <f t="shared" si="33"/>
        <v>-122413.81375133546</v>
      </c>
      <c r="BJ8" s="16">
        <f t="shared" si="52"/>
        <v>0</v>
      </c>
      <c r="BK8" s="28">
        <f t="shared" ref="BK8:BK14" ca="1" si="58">AU8-AU7</f>
        <v>23504.896828833967</v>
      </c>
      <c r="BL8" s="28">
        <f t="shared" ca="1" si="6"/>
        <v>5621050.0050599836</v>
      </c>
      <c r="BM8" s="28"/>
      <c r="BN8" s="28">
        <f t="shared" ca="1" si="34"/>
        <v>5219703.723449152</v>
      </c>
      <c r="BQ8" s="16">
        <f t="shared" si="7"/>
        <v>27959.580519531242</v>
      </c>
      <c r="BS8" s="30">
        <f t="shared" ca="1" si="8"/>
        <v>2.8054575787078085E-2</v>
      </c>
      <c r="BU8" s="30">
        <f t="shared" ca="1" si="35"/>
        <v>4.6693631922265499E-3</v>
      </c>
    </row>
    <row r="9" spans="1:73" x14ac:dyDescent="0.3">
      <c r="A9" s="36">
        <f t="shared" ca="1" si="0"/>
        <v>3363247.5589140574</v>
      </c>
      <c r="B9" s="36">
        <f t="shared" ca="1" si="1"/>
        <v>1121082.5196380191</v>
      </c>
      <c r="C9" s="36">
        <f t="shared" si="54"/>
        <v>24915.09375</v>
      </c>
      <c r="D9" s="30">
        <f t="shared" ca="1" si="55"/>
        <v>0.74444396524931</v>
      </c>
      <c r="E9" s="23">
        <f t="shared" si="36"/>
        <v>3.3000000000000002E-2</v>
      </c>
      <c r="F9" s="30">
        <f t="shared" si="56"/>
        <v>3.3000000000000002E-2</v>
      </c>
      <c r="G9" s="23">
        <v>0</v>
      </c>
      <c r="J9" s="16">
        <f t="shared" si="37"/>
        <v>0</v>
      </c>
      <c r="K9" s="16">
        <f t="shared" si="2"/>
        <v>0</v>
      </c>
      <c r="L9" s="16">
        <f t="shared" si="9"/>
        <v>0</v>
      </c>
      <c r="M9" s="23">
        <f t="shared" si="10"/>
        <v>0</v>
      </c>
      <c r="N9" s="23">
        <f t="shared" si="11"/>
        <v>0</v>
      </c>
      <c r="O9" s="23">
        <f t="shared" si="12"/>
        <v>0</v>
      </c>
      <c r="P9" s="23">
        <f t="shared" si="13"/>
        <v>0</v>
      </c>
      <c r="Q9" s="23">
        <f t="shared" si="14"/>
        <v>0</v>
      </c>
      <c r="R9" s="30">
        <f t="shared" si="15"/>
        <v>0.17</v>
      </c>
      <c r="S9" s="23">
        <f t="shared" si="16"/>
        <v>0</v>
      </c>
      <c r="T9" s="23">
        <f t="shared" si="17"/>
        <v>0</v>
      </c>
      <c r="V9" s="30">
        <f t="shared" si="38"/>
        <v>4.0000000000000002E-4</v>
      </c>
      <c r="W9" s="23">
        <f t="shared" ref="W9:W40" si="59">(AZ$3-BC$2)*((1+(AR$3-V9))^AI8)</f>
        <v>117923.72351400094</v>
      </c>
      <c r="X9">
        <f>IF(AI9&lt;=AX$3,BC$2*((1+AR$3)^AI8),0)</f>
        <v>46360.14140624999</v>
      </c>
      <c r="Y9">
        <f t="shared" si="19"/>
        <v>7881.2240390624993</v>
      </c>
      <c r="Z9">
        <f t="shared" si="20"/>
        <v>20078.356480468745</v>
      </c>
      <c r="AA9">
        <f>IF(MAX(AY$5:AY9)&gt;1,AA8+1,0)</f>
        <v>0</v>
      </c>
      <c r="AB9">
        <f>IF(MAX(AY$5:AY9)&gt;1,1,0)</f>
        <v>0</v>
      </c>
      <c r="AC9" t="str">
        <f t="shared" ca="1" si="3"/>
        <v>DECLINE</v>
      </c>
      <c r="AD9">
        <f t="shared" si="21"/>
        <v>1</v>
      </c>
      <c r="AE9" s="23">
        <f t="shared" si="22"/>
        <v>1</v>
      </c>
      <c r="AF9">
        <f t="shared" si="23"/>
        <v>0</v>
      </c>
      <c r="AH9">
        <f t="shared" si="24"/>
        <v>1</v>
      </c>
      <c r="AI9">
        <f t="shared" si="39"/>
        <v>5</v>
      </c>
      <c r="AJ9" s="15">
        <f t="shared" ca="1" si="25"/>
        <v>6.083333333333333</v>
      </c>
      <c r="AK9">
        <f t="shared" si="26"/>
        <v>70</v>
      </c>
      <c r="AL9">
        <f t="shared" si="40"/>
        <v>1</v>
      </c>
      <c r="AM9" s="3" t="str">
        <f t="shared" si="41"/>
        <v/>
      </c>
      <c r="AN9">
        <f t="shared" si="27"/>
        <v>64</v>
      </c>
      <c r="AO9">
        <f t="shared" si="42"/>
        <v>1</v>
      </c>
      <c r="AP9" s="3" t="str">
        <f t="shared" si="28"/>
        <v/>
      </c>
      <c r="AQ9">
        <f t="shared" si="29"/>
        <v>23</v>
      </c>
      <c r="AR9" s="10">
        <f t="shared" si="43"/>
        <v>45658</v>
      </c>
      <c r="AS9">
        <f t="shared" si="44"/>
        <v>5</v>
      </c>
      <c r="AT9" s="30">
        <f t="shared" si="45"/>
        <v>3.3000000000000002E-2</v>
      </c>
      <c r="AU9" s="16">
        <f t="shared" ca="1" si="46"/>
        <v>4484330.0785520766</v>
      </c>
      <c r="AV9" s="1"/>
      <c r="AW9" s="1" t="str">
        <f t="shared" ca="1" si="47"/>
        <v/>
      </c>
      <c r="AX9" s="16">
        <f t="shared" si="4"/>
        <v>0</v>
      </c>
      <c r="AY9" s="16"/>
      <c r="AZ9" s="1">
        <f>((W9+X9+Y9+Z9)*AE9*AH9)+(T9)</f>
        <v>192243.44543978217</v>
      </c>
      <c r="BA9" s="16">
        <f t="shared" si="30"/>
        <v>0</v>
      </c>
      <c r="BB9" s="28">
        <f t="shared" si="48"/>
        <v>31074.54049687499</v>
      </c>
      <c r="BC9" s="16">
        <f t="shared" si="49"/>
        <v>0</v>
      </c>
      <c r="BD9" s="16">
        <f t="shared" si="50"/>
        <v>28740.049556144135</v>
      </c>
      <c r="BE9" s="16">
        <f t="shared" si="51"/>
        <v>6622.8773437499985</v>
      </c>
      <c r="BF9" s="16">
        <f t="shared" si="31"/>
        <v>0</v>
      </c>
      <c r="BG9" s="16">
        <f t="shared" si="32"/>
        <v>66437.46739676912</v>
      </c>
      <c r="BH9" s="16">
        <f t="shared" si="5"/>
        <v>0</v>
      </c>
      <c r="BI9" s="16">
        <f t="shared" si="33"/>
        <v>-125805.97804301305</v>
      </c>
      <c r="BJ9" s="16">
        <f t="shared" si="52"/>
        <v>0</v>
      </c>
      <c r="BK9" s="16">
        <f t="shared" ca="1" si="58"/>
        <v>20841.648583822884</v>
      </c>
      <c r="BL9" s="16">
        <f t="shared" ca="1" si="6"/>
        <v>5685300.2127097463</v>
      </c>
      <c r="BM9" s="16"/>
      <c r="BN9" s="16">
        <f t="shared" ca="1" si="34"/>
        <v>5150601.3935845792</v>
      </c>
      <c r="BQ9" s="16">
        <f t="shared" si="7"/>
        <v>28658.570032519525</v>
      </c>
      <c r="BS9" s="30">
        <f t="shared" ca="1" si="8"/>
        <v>2.8709803426324409E-2</v>
      </c>
      <c r="BU9" s="30">
        <f t="shared" ca="1" si="35"/>
        <v>4.0196232119482644E-3</v>
      </c>
    </row>
    <row r="10" spans="1:73" x14ac:dyDescent="0.3">
      <c r="A10" s="36">
        <f t="shared" ca="1" si="0"/>
        <v>3376766.5468693962</v>
      </c>
      <c r="B10" s="36">
        <f t="shared" ca="1" si="1"/>
        <v>1125588.8489564657</v>
      </c>
      <c r="C10" s="36">
        <f t="shared" si="54"/>
        <v>31537.971093749999</v>
      </c>
      <c r="D10" s="30">
        <f t="shared" ca="1" si="55"/>
        <v>0.74299522842577259</v>
      </c>
      <c r="E10" s="23">
        <f t="shared" ca="1" si="36"/>
        <v>3.3000000000000002E-2</v>
      </c>
      <c r="F10" s="30">
        <f t="shared" si="56"/>
        <v>3.3000000000000002E-2</v>
      </c>
      <c r="G10" s="23">
        <v>0</v>
      </c>
      <c r="H10" s="23">
        <f t="shared" ref="H10:H17" si="60">G5</f>
        <v>0</v>
      </c>
      <c r="J10" s="16">
        <f t="shared" si="37"/>
        <v>0</v>
      </c>
      <c r="K10" s="16">
        <f t="shared" si="2"/>
        <v>0</v>
      </c>
      <c r="L10" s="16">
        <f t="shared" si="9"/>
        <v>0</v>
      </c>
      <c r="M10" s="23">
        <f t="shared" si="10"/>
        <v>0</v>
      </c>
      <c r="N10" s="23">
        <f t="shared" si="11"/>
        <v>0</v>
      </c>
      <c r="O10" s="23">
        <f t="shared" si="12"/>
        <v>0</v>
      </c>
      <c r="P10" s="23">
        <f t="shared" si="13"/>
        <v>0</v>
      </c>
      <c r="Q10" s="23">
        <f t="shared" si="14"/>
        <v>0</v>
      </c>
      <c r="R10" s="30">
        <f t="shared" si="15"/>
        <v>0.17</v>
      </c>
      <c r="S10" s="23">
        <f t="shared" si="16"/>
        <v>0</v>
      </c>
      <c r="T10" s="23">
        <f t="shared" si="17"/>
        <v>0</v>
      </c>
      <c r="V10" s="30">
        <f t="shared" si="38"/>
        <v>5.0000000000000001E-4</v>
      </c>
      <c r="W10" s="23">
        <f t="shared" si="59"/>
        <v>120765.69675881002</v>
      </c>
      <c r="X10">
        <f t="shared" si="18"/>
        <v>47519.144941406237</v>
      </c>
      <c r="Y10">
        <f t="shared" si="19"/>
        <v>8078.2546400390611</v>
      </c>
      <c r="Z10">
        <f t="shared" si="20"/>
        <v>20580.315392480465</v>
      </c>
      <c r="AA10">
        <f>IF(MAX(AY$5:AY10)&gt;1,AA9+1,0)</f>
        <v>0</v>
      </c>
      <c r="AB10">
        <f>IF(MAX(AY$5:AY10)&gt;1,1,0)</f>
        <v>0</v>
      </c>
      <c r="AC10" t="str">
        <f t="shared" ca="1" si="3"/>
        <v>DECLINE</v>
      </c>
      <c r="AD10">
        <f t="shared" si="21"/>
        <v>1</v>
      </c>
      <c r="AE10" s="23">
        <f t="shared" si="22"/>
        <v>1</v>
      </c>
      <c r="AF10">
        <f t="shared" si="23"/>
        <v>0</v>
      </c>
      <c r="AH10">
        <f t="shared" si="24"/>
        <v>1</v>
      </c>
      <c r="AI10">
        <f t="shared" si="39"/>
        <v>6</v>
      </c>
      <c r="AJ10" s="15">
        <f t="shared" ca="1" si="25"/>
        <v>7.083333333333333</v>
      </c>
      <c r="AK10">
        <f t="shared" si="26"/>
        <v>71</v>
      </c>
      <c r="AL10">
        <f t="shared" si="40"/>
        <v>1</v>
      </c>
      <c r="AM10" s="3" t="str">
        <f t="shared" si="41"/>
        <v/>
      </c>
      <c r="AN10">
        <f t="shared" si="27"/>
        <v>65</v>
      </c>
      <c r="AO10">
        <f t="shared" si="42"/>
        <v>1</v>
      </c>
      <c r="AP10" s="3" t="str">
        <f t="shared" si="28"/>
        <v/>
      </c>
      <c r="AQ10">
        <f>AQ9+1</f>
        <v>24</v>
      </c>
      <c r="AR10" s="10">
        <f t="shared" si="43"/>
        <v>46023</v>
      </c>
      <c r="AS10">
        <f t="shared" si="44"/>
        <v>6</v>
      </c>
      <c r="AT10" s="30">
        <f t="shared" si="45"/>
        <v>3.3000000000000002E-2</v>
      </c>
      <c r="AU10" s="16">
        <f t="shared" ca="1" si="46"/>
        <v>4502355.395825862</v>
      </c>
      <c r="AV10" s="1"/>
      <c r="AW10" s="1" t="str">
        <f t="shared" ca="1" si="47"/>
        <v/>
      </c>
      <c r="AX10" s="16">
        <f t="shared" si="4"/>
        <v>0</v>
      </c>
      <c r="AY10" s="16"/>
      <c r="AZ10" s="1">
        <f>((W10+X10+Y10+Z10)*AE10*AH10)+(T10)</f>
        <v>196943.41173273578</v>
      </c>
      <c r="BA10" s="16">
        <f t="shared" si="30"/>
        <v>0</v>
      </c>
      <c r="BB10" s="28">
        <f t="shared" si="48"/>
        <v>31851.404009296861</v>
      </c>
      <c r="BC10" s="16">
        <f t="shared" si="49"/>
        <v>0</v>
      </c>
      <c r="BD10" s="16">
        <f t="shared" si="50"/>
        <v>29041.820076483647</v>
      </c>
      <c r="BE10" s="16">
        <f t="shared" si="51"/>
        <v>6788.4492773437478</v>
      </c>
      <c r="BF10" s="16">
        <f t="shared" si="31"/>
        <v>0</v>
      </c>
      <c r="BG10" s="16">
        <f t="shared" si="32"/>
        <v>67681.673363124253</v>
      </c>
      <c r="BH10" s="16">
        <f t="shared" si="5"/>
        <v>0</v>
      </c>
      <c r="BI10" s="16">
        <f t="shared" si="33"/>
        <v>-129261.73836961153</v>
      </c>
      <c r="BJ10" s="16">
        <f t="shared" si="52"/>
        <v>0</v>
      </c>
      <c r="BK10" s="16">
        <f t="shared" ca="1" si="58"/>
        <v>18025.31727378536</v>
      </c>
      <c r="BL10" s="16">
        <f t="shared" ca="1" si="6"/>
        <v>5748361.910014445</v>
      </c>
      <c r="BM10" s="16"/>
      <c r="BN10" s="16">
        <f t="shared" ca="1" si="34"/>
        <v>5080714.320897501</v>
      </c>
      <c r="BQ10" s="16">
        <f t="shared" si="7"/>
        <v>29375.034283332512</v>
      </c>
      <c r="BS10" s="30">
        <f t="shared" ca="1" si="8"/>
        <v>2.939332241457145E-2</v>
      </c>
      <c r="BU10" s="30">
        <f t="shared" ca="1" si="35"/>
        <v>3.3427730606070405E-3</v>
      </c>
    </row>
    <row r="11" spans="1:73" x14ac:dyDescent="0.3">
      <c r="A11" s="36">
        <f t="shared" ca="1" si="0"/>
        <v>3388054.3111142302</v>
      </c>
      <c r="B11" s="36">
        <f t="shared" ca="1" si="1"/>
        <v>1129351.437038077</v>
      </c>
      <c r="C11" s="36">
        <f t="shared" si="54"/>
        <v>38326.420371093744</v>
      </c>
      <c r="D11" s="30">
        <f t="shared" ca="1" si="55"/>
        <v>0.74151583397467224</v>
      </c>
      <c r="E11" s="23">
        <f t="shared" ca="1" si="36"/>
        <v>3.3000000000000002E-2</v>
      </c>
      <c r="F11" s="30">
        <f t="shared" si="56"/>
        <v>3.3000000000000002E-2</v>
      </c>
      <c r="G11" s="23">
        <v>0</v>
      </c>
      <c r="H11" s="23">
        <f t="shared" si="60"/>
        <v>0</v>
      </c>
      <c r="J11" s="16">
        <f t="shared" si="37"/>
        <v>0</v>
      </c>
      <c r="K11" s="16">
        <f t="shared" si="2"/>
        <v>0</v>
      </c>
      <c r="L11" s="16">
        <f t="shared" si="9"/>
        <v>0</v>
      </c>
      <c r="M11" s="23">
        <f t="shared" si="10"/>
        <v>0</v>
      </c>
      <c r="N11" s="23">
        <f t="shared" si="11"/>
        <v>0</v>
      </c>
      <c r="O11" s="23">
        <f t="shared" si="12"/>
        <v>0</v>
      </c>
      <c r="P11" s="23">
        <f t="shared" si="13"/>
        <v>0</v>
      </c>
      <c r="Q11" s="23">
        <f t="shared" si="14"/>
        <v>0</v>
      </c>
      <c r="R11" s="30">
        <f t="shared" si="15"/>
        <v>0.17</v>
      </c>
      <c r="S11" s="23">
        <f t="shared" si="16"/>
        <v>0</v>
      </c>
      <c r="T11" s="23">
        <f t="shared" si="17"/>
        <v>0</v>
      </c>
      <c r="V11" s="30">
        <f t="shared" si="38"/>
        <v>6.0000000000000006E-4</v>
      </c>
      <c r="W11" s="23">
        <f t="shared" si="59"/>
        <v>123652.01459069856</v>
      </c>
      <c r="X11">
        <f t="shared" si="18"/>
        <v>48707.123564941387</v>
      </c>
      <c r="Y11">
        <f t="shared" si="19"/>
        <v>8280.2110060400355</v>
      </c>
      <c r="Z11">
        <f t="shared" si="20"/>
        <v>21094.823277292475</v>
      </c>
      <c r="AA11">
        <f>IF(MAX(AY$5:AY11)&gt;1,AA10+1,0)</f>
        <v>0</v>
      </c>
      <c r="AB11">
        <f>IF(MAX(AY$5:AY11)&gt;1,1,0)</f>
        <v>0</v>
      </c>
      <c r="AC11" t="str">
        <f t="shared" ca="1" si="3"/>
        <v>DECLINE</v>
      </c>
      <c r="AD11">
        <f t="shared" si="21"/>
        <v>1</v>
      </c>
      <c r="AE11" s="23">
        <f t="shared" si="22"/>
        <v>1</v>
      </c>
      <c r="AF11">
        <f t="shared" si="23"/>
        <v>0</v>
      </c>
      <c r="AH11">
        <f t="shared" si="24"/>
        <v>1</v>
      </c>
      <c r="AI11">
        <f t="shared" si="39"/>
        <v>7</v>
      </c>
      <c r="AJ11" s="15">
        <f t="shared" ca="1" si="25"/>
        <v>8.0833333333333339</v>
      </c>
      <c r="AK11">
        <f t="shared" si="26"/>
        <v>72</v>
      </c>
      <c r="AL11">
        <f t="shared" si="40"/>
        <v>1</v>
      </c>
      <c r="AM11" s="3" t="str">
        <f t="shared" si="41"/>
        <v/>
      </c>
      <c r="AN11">
        <f t="shared" si="27"/>
        <v>66</v>
      </c>
      <c r="AO11">
        <f t="shared" si="42"/>
        <v>1</v>
      </c>
      <c r="AP11" s="3" t="str">
        <f t="shared" si="28"/>
        <v/>
      </c>
      <c r="AQ11">
        <f t="shared" si="29"/>
        <v>25</v>
      </c>
      <c r="AR11" s="10">
        <f t="shared" si="43"/>
        <v>46388</v>
      </c>
      <c r="AS11">
        <f t="shared" si="44"/>
        <v>7</v>
      </c>
      <c r="AT11" s="30">
        <f t="shared" si="45"/>
        <v>3.3000000000000002E-2</v>
      </c>
      <c r="AU11" s="16">
        <f t="shared" ca="1" si="46"/>
        <v>4517405.7481523072</v>
      </c>
      <c r="AV11" s="1"/>
      <c r="AW11" s="1" t="str">
        <f t="shared" ca="1" si="47"/>
        <v/>
      </c>
      <c r="AX11" s="16">
        <f t="shared" si="4"/>
        <v>0</v>
      </c>
      <c r="AY11" s="16"/>
      <c r="AZ11" s="1">
        <f t="shared" si="57"/>
        <v>201734.17243897245</v>
      </c>
      <c r="BA11" s="16">
        <f t="shared" si="30"/>
        <v>0</v>
      </c>
      <c r="BB11" s="28">
        <f t="shared" si="48"/>
        <v>32647.689109529278</v>
      </c>
      <c r="BC11" s="16">
        <f t="shared" si="49"/>
        <v>0</v>
      </c>
      <c r="BD11" s="16">
        <f t="shared" si="50"/>
        <v>29346.759187286723</v>
      </c>
      <c r="BE11" s="16">
        <f t="shared" si="51"/>
        <v>6958.1605092773407</v>
      </c>
      <c r="BF11" s="16">
        <f t="shared" si="31"/>
        <v>0</v>
      </c>
      <c r="BG11" s="16">
        <f t="shared" si="32"/>
        <v>68952.60880609334</v>
      </c>
      <c r="BH11" s="16">
        <f t="shared" si="5"/>
        <v>0</v>
      </c>
      <c r="BI11" s="16">
        <f t="shared" si="33"/>
        <v>-132781.56363287912</v>
      </c>
      <c r="BJ11" s="16">
        <f t="shared" si="52"/>
        <v>0</v>
      </c>
      <c r="BK11" s="16">
        <f t="shared" ca="1" si="58"/>
        <v>15050.352326445282</v>
      </c>
      <c r="BL11" s="16">
        <f t="shared" ca="1" si="6"/>
        <v>5810137.5066229617</v>
      </c>
      <c r="BM11" s="16"/>
      <c r="BN11" s="16">
        <f t="shared" ca="1" si="34"/>
        <v>5010063.3627605606</v>
      </c>
      <c r="BO11" s="16"/>
      <c r="BQ11" s="16">
        <f t="shared" si="7"/>
        <v>30109.410140415825</v>
      </c>
      <c r="BS11" s="30">
        <f t="shared" ca="1" si="8"/>
        <v>2.6774198908517146E-2</v>
      </c>
      <c r="BU11" s="30">
        <f t="shared" ca="1" si="35"/>
        <v>2.6366979457475015E-3</v>
      </c>
    </row>
    <row r="12" spans="1:73" x14ac:dyDescent="0.3">
      <c r="A12" s="36">
        <f t="shared" ca="1" si="0"/>
        <v>3396987.5869564265</v>
      </c>
      <c r="B12" s="36">
        <f t="shared" ca="1" si="1"/>
        <v>1132329.1956521422</v>
      </c>
      <c r="C12" s="36">
        <f t="shared" si="54"/>
        <v>45284.580880371082</v>
      </c>
      <c r="D12" s="30">
        <f t="shared" ca="1" si="55"/>
        <v>0.74000189585894005</v>
      </c>
      <c r="E12" s="23">
        <f t="shared" ca="1" si="36"/>
        <v>3.3000000000000002E-2</v>
      </c>
      <c r="F12" s="30">
        <f t="shared" si="56"/>
        <v>3.3000000000000002E-2</v>
      </c>
      <c r="G12" s="23">
        <v>0</v>
      </c>
      <c r="H12" s="23">
        <f t="shared" si="60"/>
        <v>0</v>
      </c>
      <c r="J12" s="16">
        <f t="shared" si="37"/>
        <v>0</v>
      </c>
      <c r="K12" s="16">
        <f t="shared" si="2"/>
        <v>0</v>
      </c>
      <c r="L12" s="16">
        <f t="shared" si="9"/>
        <v>0</v>
      </c>
      <c r="M12" s="23">
        <f t="shared" si="10"/>
        <v>0</v>
      </c>
      <c r="N12" s="23">
        <f t="shared" si="11"/>
        <v>0</v>
      </c>
      <c r="O12" s="23">
        <f t="shared" si="12"/>
        <v>0</v>
      </c>
      <c r="P12" s="23">
        <f t="shared" si="13"/>
        <v>0</v>
      </c>
      <c r="Q12" s="23">
        <f t="shared" si="14"/>
        <v>0</v>
      </c>
      <c r="R12" s="30">
        <f t="shared" si="15"/>
        <v>0.17</v>
      </c>
      <c r="S12" s="23">
        <f>IF(AY12&lt;&gt;0,AY12+S11,S11)</f>
        <v>0</v>
      </c>
      <c r="T12" s="23">
        <f t="shared" si="17"/>
        <v>0</v>
      </c>
      <c r="V12" s="30">
        <f t="shared" si="38"/>
        <v>7.000000000000001E-4</v>
      </c>
      <c r="W12" s="23">
        <f t="shared" si="59"/>
        <v>126582.59268079601</v>
      </c>
      <c r="X12">
        <f t="shared" si="18"/>
        <v>49924.801654064926</v>
      </c>
      <c r="Y12">
        <f t="shared" si="19"/>
        <v>8487.2162811910384</v>
      </c>
      <c r="Z12">
        <f t="shared" si="20"/>
        <v>21622.193859224786</v>
      </c>
      <c r="AA12">
        <f>IF(MAX(AY$5:AY12)&gt;1,AA11+1,0)</f>
        <v>0</v>
      </c>
      <c r="AB12">
        <f>IF(MAX(AY$5:AY12)&gt;1,1,0)</f>
        <v>0</v>
      </c>
      <c r="AC12" t="str">
        <f t="shared" ca="1" si="3"/>
        <v>DECLINE</v>
      </c>
      <c r="AD12">
        <f t="shared" si="21"/>
        <v>1</v>
      </c>
      <c r="AE12" s="23">
        <f t="shared" si="22"/>
        <v>1</v>
      </c>
      <c r="AF12">
        <f t="shared" si="23"/>
        <v>0</v>
      </c>
      <c r="AH12">
        <f t="shared" si="24"/>
        <v>1</v>
      </c>
      <c r="AI12">
        <f t="shared" si="39"/>
        <v>8</v>
      </c>
      <c r="AJ12" s="15">
        <f ca="1">DATEDIF(TODAY(),AR12,"m")/12</f>
        <v>9.0833333333333339</v>
      </c>
      <c r="AK12">
        <f t="shared" si="26"/>
        <v>73</v>
      </c>
      <c r="AL12">
        <f t="shared" si="40"/>
        <v>1</v>
      </c>
      <c r="AM12" s="3" t="str">
        <f t="shared" si="41"/>
        <v/>
      </c>
      <c r="AN12">
        <f t="shared" si="27"/>
        <v>67</v>
      </c>
      <c r="AO12">
        <f t="shared" si="42"/>
        <v>1</v>
      </c>
      <c r="AP12" s="3" t="str">
        <f t="shared" si="28"/>
        <v/>
      </c>
      <c r="AQ12">
        <f t="shared" si="29"/>
        <v>26</v>
      </c>
      <c r="AR12" s="10">
        <f t="shared" si="43"/>
        <v>46753</v>
      </c>
      <c r="AS12">
        <f t="shared" si="44"/>
        <v>8</v>
      </c>
      <c r="AT12" s="30">
        <f t="shared" si="45"/>
        <v>3.3000000000000002E-2</v>
      </c>
      <c r="AU12" s="16">
        <f t="shared" ca="1" si="46"/>
        <v>4529316.7826085687</v>
      </c>
      <c r="AV12" s="1"/>
      <c r="AW12" s="1" t="str">
        <f t="shared" ca="1" si="47"/>
        <v/>
      </c>
      <c r="AX12" s="16">
        <f t="shared" si="4"/>
        <v>0</v>
      </c>
      <c r="AY12" s="16"/>
      <c r="AZ12" s="1">
        <f>((W12+X12+Y12+Z12)*AE12*AH12)+(T12)</f>
        <v>206616.80447527676</v>
      </c>
      <c r="BA12" s="16">
        <f t="shared" si="30"/>
        <v>0</v>
      </c>
      <c r="BB12" s="28">
        <f t="shared" si="48"/>
        <v>33463.881337267507</v>
      </c>
      <c r="BC12" s="16">
        <f t="shared" si="49"/>
        <v>15097.08</v>
      </c>
      <c r="BD12" s="16">
        <f t="shared" si="50"/>
        <v>29654.900158753233</v>
      </c>
      <c r="BE12" s="16">
        <f t="shared" si="51"/>
        <v>7132.1145220092749</v>
      </c>
      <c r="BF12" s="16">
        <f t="shared" si="31"/>
        <v>0</v>
      </c>
      <c r="BG12" s="16">
        <f t="shared" si="32"/>
        <v>85347.976018030022</v>
      </c>
      <c r="BH12" s="16">
        <f t="shared" si="5"/>
        <v>0</v>
      </c>
      <c r="BI12" s="16">
        <f t="shared" si="33"/>
        <v>-121268.82845724674</v>
      </c>
      <c r="BJ12" s="16">
        <f t="shared" si="52"/>
        <v>0</v>
      </c>
      <c r="BK12" s="16">
        <f t="shared" ca="1" si="58"/>
        <v>11911.034456261434</v>
      </c>
      <c r="BL12" s="16">
        <f t="shared" ca="1" si="6"/>
        <v>5870525.9820218729</v>
      </c>
      <c r="BM12" s="16"/>
      <c r="BN12" s="16">
        <f t="shared" ca="1" si="34"/>
        <v>4938669.4203289505</v>
      </c>
      <c r="BQ12" s="16">
        <f t="shared" si="7"/>
        <v>30862.145393926221</v>
      </c>
      <c r="BS12" s="30">
        <f t="shared" ca="1" si="8"/>
        <v>2.7350463532263281E-2</v>
      </c>
      <c r="BU12" s="30">
        <f t="shared" ca="1" si="35"/>
        <v>5.3422525275017563E-3</v>
      </c>
    </row>
    <row r="13" spans="1:73" x14ac:dyDescent="0.3">
      <c r="A13" s="36">
        <f t="shared" ca="1" si="0"/>
        <v>3415135.1524787368</v>
      </c>
      <c r="B13" s="36">
        <f t="shared" ca="1" si="1"/>
        <v>1138378.3841595789</v>
      </c>
      <c r="C13" s="36">
        <f t="shared" si="54"/>
        <v>52416.695402380356</v>
      </c>
      <c r="D13" s="30">
        <f t="shared" ca="1" si="55"/>
        <v>0.7384887362295891</v>
      </c>
      <c r="E13" s="23">
        <f t="shared" ca="1" si="36"/>
        <v>3.3000000000000002E-2</v>
      </c>
      <c r="F13" s="30">
        <f t="shared" si="56"/>
        <v>3.3000000000000002E-2</v>
      </c>
      <c r="G13" s="23">
        <v>27.4</v>
      </c>
      <c r="H13" s="23">
        <f t="shared" si="60"/>
        <v>0</v>
      </c>
      <c r="I13" s="23">
        <f>IF(AL13&gt;0,G13,H13*AO13)</f>
        <v>27.4</v>
      </c>
      <c r="J13" s="16">
        <f t="shared" ca="1" si="37"/>
        <v>122726.95098818821</v>
      </c>
      <c r="K13" s="16">
        <f t="shared" ca="1" si="2"/>
        <v>0</v>
      </c>
      <c r="L13" s="16">
        <f t="shared" ca="1" si="9"/>
        <v>0</v>
      </c>
      <c r="M13" s="23">
        <f t="shared" ca="1" si="10"/>
        <v>0</v>
      </c>
      <c r="N13" s="23">
        <f t="shared" ca="1" si="11"/>
        <v>0</v>
      </c>
      <c r="O13" s="23">
        <f t="shared" ca="1" si="12"/>
        <v>0</v>
      </c>
      <c r="P13" s="23">
        <f t="shared" ca="1" si="13"/>
        <v>0</v>
      </c>
      <c r="Q13" s="23">
        <f t="shared" ca="1" si="14"/>
        <v>0</v>
      </c>
      <c r="R13" s="30">
        <f t="shared" ca="1" si="15"/>
        <v>0.17</v>
      </c>
      <c r="S13" s="23">
        <f t="shared" ref="S13:S40" si="61">IF(AY13&lt;&gt;0,AY13+S12,S12)</f>
        <v>0</v>
      </c>
      <c r="T13" s="23">
        <f t="shared" si="17"/>
        <v>0</v>
      </c>
      <c r="V13" s="30">
        <f t="shared" si="38"/>
        <v>8.0000000000000015E-4</v>
      </c>
      <c r="W13" s="23">
        <f t="shared" si="59"/>
        <v>129557.31820432952</v>
      </c>
      <c r="X13">
        <f t="shared" si="18"/>
        <v>51172.921695416546</v>
      </c>
      <c r="Y13">
        <f t="shared" si="19"/>
        <v>8699.3966882208133</v>
      </c>
      <c r="Z13">
        <f t="shared" si="20"/>
        <v>22162.748705705406</v>
      </c>
      <c r="AA13">
        <f>IF(MAX(AY$5:AY13)&gt;1,AA12+1,0)</f>
        <v>0</v>
      </c>
      <c r="AB13">
        <f>IF(MAX(AY$5:AY13)&gt;1,1,0)</f>
        <v>0</v>
      </c>
      <c r="AC13" t="str">
        <f t="shared" ca="1" si="3"/>
        <v>DECLINE</v>
      </c>
      <c r="AD13">
        <f t="shared" si="21"/>
        <v>1</v>
      </c>
      <c r="AE13" s="23">
        <f t="shared" si="22"/>
        <v>1</v>
      </c>
      <c r="AF13">
        <f t="shared" si="23"/>
        <v>0</v>
      </c>
      <c r="AH13">
        <f t="shared" si="24"/>
        <v>1</v>
      </c>
      <c r="AI13">
        <f t="shared" si="39"/>
        <v>9</v>
      </c>
      <c r="AJ13" s="15">
        <f t="shared" ca="1" si="25"/>
        <v>10.083333333333334</v>
      </c>
      <c r="AK13">
        <f t="shared" si="26"/>
        <v>74</v>
      </c>
      <c r="AL13">
        <f t="shared" si="40"/>
        <v>1</v>
      </c>
      <c r="AM13" s="3" t="str">
        <f t="shared" si="41"/>
        <v/>
      </c>
      <c r="AN13">
        <f t="shared" si="27"/>
        <v>68</v>
      </c>
      <c r="AO13">
        <f t="shared" si="42"/>
        <v>1</v>
      </c>
      <c r="AP13" s="3" t="str">
        <f t="shared" si="28"/>
        <v/>
      </c>
      <c r="AQ13">
        <f t="shared" si="29"/>
        <v>27</v>
      </c>
      <c r="AR13" s="10">
        <f t="shared" si="43"/>
        <v>47119</v>
      </c>
      <c r="AS13">
        <f t="shared" si="44"/>
        <v>9</v>
      </c>
      <c r="AT13" s="30">
        <f t="shared" si="45"/>
        <v>3.3000000000000002E-2</v>
      </c>
      <c r="AU13" s="16">
        <f t="shared" ca="1" si="46"/>
        <v>4553513.5366383158</v>
      </c>
      <c r="AV13" s="1"/>
      <c r="AW13" s="1" t="str">
        <f t="shared" ca="1" si="47"/>
        <v/>
      </c>
      <c r="AX13" s="16">
        <f t="shared" si="4"/>
        <v>0</v>
      </c>
      <c r="AY13" s="16"/>
      <c r="AZ13" s="1">
        <f t="shared" si="57"/>
        <v>211592.3852936723</v>
      </c>
      <c r="BA13" s="16">
        <f t="shared" si="30"/>
        <v>0</v>
      </c>
      <c r="BB13" s="28">
        <f t="shared" si="48"/>
        <v>34300.478370699195</v>
      </c>
      <c r="BC13" s="16">
        <f t="shared" si="49"/>
        <v>15474.506999999998</v>
      </c>
      <c r="BD13" s="16">
        <f t="shared" si="50"/>
        <v>29966.27661042014</v>
      </c>
      <c r="BE13" s="16">
        <f t="shared" si="51"/>
        <v>7310.4173850595062</v>
      </c>
      <c r="BF13" s="16">
        <f t="shared" ca="1" si="31"/>
        <v>0</v>
      </c>
      <c r="BG13" s="16">
        <f t="shared" si="32"/>
        <v>87051.67936617884</v>
      </c>
      <c r="BH13" s="16">
        <f t="shared" si="5"/>
        <v>0</v>
      </c>
      <c r="BI13" s="16">
        <f t="shared" ca="1" si="33"/>
        <v>-124540.70592749346</v>
      </c>
      <c r="BJ13" s="16">
        <f t="shared" si="52"/>
        <v>0</v>
      </c>
      <c r="BK13" s="16">
        <f t="shared" ca="1" si="58"/>
        <v>24196.754029747099</v>
      </c>
      <c r="BL13" s="16">
        <f t="shared" ca="1" si="6"/>
        <v>5945018.0810296191</v>
      </c>
      <c r="BM13" s="16"/>
      <c r="BN13" s="16">
        <f t="shared" ca="1" si="34"/>
        <v>4879353.2034268882</v>
      </c>
      <c r="BQ13" s="16">
        <f t="shared" si="7"/>
        <v>31633.699028774368</v>
      </c>
      <c r="BS13" s="30">
        <f t="shared" ca="1" si="8"/>
        <v>2.5410263342236551E-2</v>
      </c>
      <c r="BU13" s="30">
        <f t="shared" ca="1" si="35"/>
        <v>0.1698765501844719</v>
      </c>
    </row>
    <row r="14" spans="1:73" x14ac:dyDescent="0.3">
      <c r="A14" s="36">
        <f t="shared" ca="1" si="0"/>
        <v>3995286.5305955447</v>
      </c>
      <c r="B14" s="36">
        <f t="shared" ca="1" si="1"/>
        <v>1331762.1768651819</v>
      </c>
      <c r="C14" s="36">
        <f t="shared" si="54"/>
        <v>59727.112787439859</v>
      </c>
      <c r="D14" s="30">
        <f t="shared" ca="1" si="55"/>
        <v>0.73878795444393242</v>
      </c>
      <c r="E14" s="23">
        <f t="shared" ca="1" si="36"/>
        <v>3.3000000000000002E-2</v>
      </c>
      <c r="F14" s="30">
        <f t="shared" si="56"/>
        <v>3.3000000000000002E-2</v>
      </c>
      <c r="G14" s="23">
        <v>26.5</v>
      </c>
      <c r="H14" s="23">
        <f t="shared" si="60"/>
        <v>0</v>
      </c>
      <c r="I14" s="23">
        <f t="shared" ref="I14:I40" si="62">IF(AL14&gt;0,G14,H14*AO14)</f>
        <v>26.5</v>
      </c>
      <c r="J14" s="16">
        <f t="shared" ca="1" si="37"/>
        <v>148511.67614370206</v>
      </c>
      <c r="K14" s="16">
        <f t="shared" ca="1" si="2"/>
        <v>0</v>
      </c>
      <c r="L14" s="16">
        <f t="shared" ca="1" si="9"/>
        <v>0</v>
      </c>
      <c r="M14" s="23">
        <f t="shared" ca="1" si="10"/>
        <v>0</v>
      </c>
      <c r="N14" s="23">
        <f t="shared" ca="1" si="11"/>
        <v>0</v>
      </c>
      <c r="O14" s="23">
        <f t="shared" ca="1" si="12"/>
        <v>0</v>
      </c>
      <c r="P14" s="23">
        <f t="shared" ca="1" si="13"/>
        <v>0</v>
      </c>
      <c r="Q14" s="23">
        <f t="shared" ca="1" si="14"/>
        <v>0</v>
      </c>
      <c r="R14" s="30">
        <f t="shared" ca="1" si="15"/>
        <v>0.17</v>
      </c>
      <c r="S14" s="23">
        <f t="shared" si="61"/>
        <v>0</v>
      </c>
      <c r="T14" s="23">
        <f t="shared" si="17"/>
        <v>0</v>
      </c>
      <c r="V14" s="30">
        <f t="shared" si="38"/>
        <v>9.0000000000000019E-4</v>
      </c>
      <c r="W14" s="23">
        <f t="shared" si="59"/>
        <v>132576.0492467178</v>
      </c>
      <c r="X14">
        <f t="shared" si="18"/>
        <v>52452.24473780195</v>
      </c>
      <c r="Y14">
        <f t="shared" si="19"/>
        <v>8916.8816054263316</v>
      </c>
      <c r="Z14">
        <f t="shared" si="20"/>
        <v>22716.817423348039</v>
      </c>
      <c r="AA14">
        <f>IF(MAX(AY$5:AY14)&gt;1,AA13+1,0)</f>
        <v>0</v>
      </c>
      <c r="AB14">
        <f>IF(MAX(AY$5:AY14)&gt;1,1,0)</f>
        <v>0</v>
      </c>
      <c r="AC14" t="str">
        <f t="shared" ca="1" si="3"/>
        <v>DECLINE</v>
      </c>
      <c r="AD14">
        <f t="shared" ca="1" si="21"/>
        <v>0</v>
      </c>
      <c r="AE14" s="23">
        <f t="shared" si="22"/>
        <v>1</v>
      </c>
      <c r="AF14">
        <f t="shared" ca="1" si="23"/>
        <v>1</v>
      </c>
      <c r="AH14">
        <f t="shared" si="24"/>
        <v>1</v>
      </c>
      <c r="AI14">
        <f t="shared" si="39"/>
        <v>10</v>
      </c>
      <c r="AJ14" s="15">
        <f t="shared" ca="1" si="25"/>
        <v>11.083333333333334</v>
      </c>
      <c r="AK14">
        <f t="shared" si="26"/>
        <v>75</v>
      </c>
      <c r="AL14">
        <f t="shared" si="40"/>
        <v>1</v>
      </c>
      <c r="AM14" s="3" t="str">
        <f t="shared" si="41"/>
        <v/>
      </c>
      <c r="AN14">
        <f t="shared" si="27"/>
        <v>69</v>
      </c>
      <c r="AO14">
        <f t="shared" si="42"/>
        <v>1</v>
      </c>
      <c r="AP14" s="3" t="str">
        <f t="shared" si="28"/>
        <v/>
      </c>
      <c r="AQ14">
        <f t="shared" si="29"/>
        <v>28</v>
      </c>
      <c r="AR14" s="10">
        <f t="shared" si="43"/>
        <v>47484</v>
      </c>
      <c r="AS14">
        <f t="shared" si="44"/>
        <v>10</v>
      </c>
      <c r="AT14" s="30">
        <f t="shared" si="45"/>
        <v>3.3000000000000002E-2</v>
      </c>
      <c r="AU14" s="16">
        <f t="shared" ca="1" si="46"/>
        <v>5327048.7074607266</v>
      </c>
      <c r="AV14" s="1"/>
      <c r="AW14" s="1" t="str">
        <f t="shared" ca="1" si="47"/>
        <v/>
      </c>
      <c r="AX14" s="16">
        <f t="shared" ca="1" si="4"/>
        <v>751919.77333644649</v>
      </c>
      <c r="AY14" s="16"/>
      <c r="AZ14" s="1">
        <f t="shared" si="57"/>
        <v>216661.99301329412</v>
      </c>
      <c r="BA14" s="16">
        <f t="shared" si="30"/>
        <v>0</v>
      </c>
      <c r="BB14" s="28">
        <f t="shared" si="48"/>
        <v>35157.990329966669</v>
      </c>
      <c r="BC14" s="16">
        <f t="shared" si="49"/>
        <v>15861.369674999996</v>
      </c>
      <c r="BD14" s="16">
        <f t="shared" si="50"/>
        <v>30280.922514829552</v>
      </c>
      <c r="BE14" s="16">
        <f t="shared" ca="1" si="51"/>
        <v>0</v>
      </c>
      <c r="BF14" s="16">
        <f t="shared" ca="1" si="31"/>
        <v>0</v>
      </c>
      <c r="BG14" s="16">
        <f t="shared" ca="1" si="32"/>
        <v>81300.282519796223</v>
      </c>
      <c r="BH14" s="16">
        <f t="shared" si="5"/>
        <v>0</v>
      </c>
      <c r="BI14" s="16">
        <f ca="1">(AZ14-BG14+L14)*-1</f>
        <v>-135361.7104934979</v>
      </c>
      <c r="BJ14" s="16">
        <f t="shared" si="52"/>
        <v>0</v>
      </c>
      <c r="BK14" s="16">
        <f t="shared" ca="1" si="58"/>
        <v>773535.17082241084</v>
      </c>
      <c r="BL14" s="16">
        <f t="shared" ca="1" si="6"/>
        <v>6018814.8989302572</v>
      </c>
      <c r="BM14" s="16"/>
      <c r="BN14" s="16">
        <f t="shared" ca="1" si="34"/>
        <v>4819435.7938104933</v>
      </c>
      <c r="BQ14" s="16">
        <f t="shared" si="7"/>
        <v>23284.737858931738</v>
      </c>
      <c r="BS14" s="30">
        <f t="shared" ca="1" si="8"/>
        <v>1.4176665353144303E-2</v>
      </c>
      <c r="BU14" s="30">
        <f t="shared" ca="1" si="35"/>
        <v>6.751197967469702E-3</v>
      </c>
    </row>
    <row r="15" spans="1:73" x14ac:dyDescent="0.3">
      <c r="A15" s="36">
        <f t="shared" ca="1" si="0"/>
        <v>4022259.5009003608</v>
      </c>
      <c r="B15" s="36">
        <f t="shared" ca="1" si="1"/>
        <v>1340753.1669667866</v>
      </c>
      <c r="C15" s="36">
        <f t="shared" ca="1" si="54"/>
        <v>811646.88612388633</v>
      </c>
      <c r="D15" s="30">
        <f t="shared" ca="1" si="55"/>
        <v>0.59865840593908659</v>
      </c>
      <c r="E15" s="23">
        <f t="shared" ca="1" si="36"/>
        <v>3.3000000000000002E-2</v>
      </c>
      <c r="F15" s="30">
        <f t="shared" si="56"/>
        <v>3.3000000000000002E-2</v>
      </c>
      <c r="G15" s="23">
        <v>25.6</v>
      </c>
      <c r="H15" s="23">
        <f t="shared" si="60"/>
        <v>0</v>
      </c>
      <c r="I15" s="23">
        <f t="shared" si="62"/>
        <v>25.6</v>
      </c>
      <c r="J15" s="16">
        <f t="shared" ca="1" si="37"/>
        <v>125414.55526470602</v>
      </c>
      <c r="K15" s="16">
        <f t="shared" ca="1" si="2"/>
        <v>0</v>
      </c>
      <c r="L15" s="16">
        <f t="shared" ca="1" si="9"/>
        <v>0</v>
      </c>
      <c r="M15" s="23">
        <f t="shared" ref="M15:M40" ca="1" si="63">IF(K15&gt;100000,0.02,0)</f>
        <v>0</v>
      </c>
      <c r="N15" s="23">
        <f t="shared" ref="N15:N40" ca="1" si="64">IF(K15&gt;300000,0.03,0)</f>
        <v>0</v>
      </c>
      <c r="O15" s="23">
        <f t="shared" ref="O15:O40" ca="1" si="65">IF(K15&gt;500000,0.06,0)</f>
        <v>0</v>
      </c>
      <c r="P15" s="23">
        <f t="shared" ref="P15:P40" ca="1" si="66">IF(K15&gt;700000,0.06,0)</f>
        <v>0</v>
      </c>
      <c r="Q15" s="23">
        <f t="shared" ref="Q15:Q40" ca="1" si="67">IF(K15&gt;700000,0.08,0)</f>
        <v>0</v>
      </c>
      <c r="R15" s="30">
        <f t="shared" ref="R15:R40" ca="1" si="68">SUM(M15:Q15)+AN$1</f>
        <v>0.17</v>
      </c>
      <c r="S15" s="23">
        <f t="shared" si="61"/>
        <v>0</v>
      </c>
      <c r="T15" s="23">
        <f t="shared" si="17"/>
        <v>0</v>
      </c>
      <c r="V15" s="30">
        <f t="shared" si="38"/>
        <v>1.0000000000000002E-3</v>
      </c>
      <c r="W15" s="23">
        <f t="shared" si="59"/>
        <v>135638.61422442054</v>
      </c>
      <c r="X15">
        <f t="shared" si="18"/>
        <v>0</v>
      </c>
      <c r="Y15">
        <f t="shared" si="19"/>
        <v>0</v>
      </c>
      <c r="Z15">
        <f t="shared" si="20"/>
        <v>23284.737858931738</v>
      </c>
      <c r="AA15">
        <f>IF(MAX(AY$5:AY15)&gt;1,AA14+1,0)</f>
        <v>0</v>
      </c>
      <c r="AB15">
        <f>IF(MAX(AY$5:AY15)&gt;1,1,0)</f>
        <v>0</v>
      </c>
      <c r="AC15" t="str">
        <f t="shared" ca="1" si="3"/>
        <v>DECLINE</v>
      </c>
      <c r="AD15">
        <f t="shared" ca="1" si="21"/>
        <v>0</v>
      </c>
      <c r="AE15" s="23">
        <f t="shared" si="22"/>
        <v>1</v>
      </c>
      <c r="AF15">
        <f t="shared" ca="1" si="23"/>
        <v>1</v>
      </c>
      <c r="AH15">
        <f t="shared" si="24"/>
        <v>1</v>
      </c>
      <c r="AI15">
        <f t="shared" si="39"/>
        <v>11</v>
      </c>
      <c r="AJ15" s="15">
        <f t="shared" ca="1" si="25"/>
        <v>12.083333333333334</v>
      </c>
      <c r="AK15">
        <f t="shared" si="26"/>
        <v>76</v>
      </c>
      <c r="AL15">
        <f t="shared" si="40"/>
        <v>1</v>
      </c>
      <c r="AM15" s="3" t="str">
        <f t="shared" si="41"/>
        <v/>
      </c>
      <c r="AN15">
        <f t="shared" si="27"/>
        <v>70</v>
      </c>
      <c r="AO15">
        <f t="shared" si="42"/>
        <v>1</v>
      </c>
      <c r="AP15" s="3" t="str">
        <f t="shared" si="28"/>
        <v/>
      </c>
      <c r="AQ15">
        <f t="shared" si="29"/>
        <v>29</v>
      </c>
      <c r="AR15" s="10">
        <f t="shared" si="43"/>
        <v>47849</v>
      </c>
      <c r="AS15">
        <f t="shared" si="44"/>
        <v>11</v>
      </c>
      <c r="AT15" s="30">
        <f t="shared" si="45"/>
        <v>3.3000000000000002E-2</v>
      </c>
      <c r="AU15" s="16">
        <f t="shared" ca="1" si="46"/>
        <v>5363012.6678671474</v>
      </c>
      <c r="AV15" s="1"/>
      <c r="AW15" s="1" t="str">
        <f t="shared" ca="1" si="47"/>
        <v/>
      </c>
      <c r="AX15" s="16">
        <f t="shared" si="4"/>
        <v>0</v>
      </c>
      <c r="AY15" s="16"/>
      <c r="AZ15" s="1">
        <f t="shared" si="57"/>
        <v>158923.35208335228</v>
      </c>
      <c r="BA15" s="16">
        <f t="shared" si="30"/>
        <v>0</v>
      </c>
      <c r="BB15" s="28">
        <f t="shared" si="48"/>
        <v>36036.94008821583</v>
      </c>
      <c r="BC15" s="16">
        <f t="shared" si="49"/>
        <v>16257.903916874995</v>
      </c>
      <c r="BD15" s="16">
        <f t="shared" si="50"/>
        <v>30598.872201235259</v>
      </c>
      <c r="BE15" s="16">
        <f t="shared" ca="1" si="51"/>
        <v>0</v>
      </c>
      <c r="BF15" s="16">
        <f t="shared" ca="1" si="31"/>
        <v>0</v>
      </c>
      <c r="BG15" s="16">
        <f t="shared" ca="1" si="32"/>
        <v>82893.716206326091</v>
      </c>
      <c r="BH15" s="16">
        <f t="shared" si="5"/>
        <v>0</v>
      </c>
      <c r="BI15" s="16">
        <f t="shared" ca="1" si="33"/>
        <v>-76029.635877026187</v>
      </c>
      <c r="BJ15" s="16">
        <f t="shared" si="52"/>
        <v>0</v>
      </c>
      <c r="BK15" s="16">
        <f t="shared" ca="1" si="53"/>
        <v>35963.960406420752</v>
      </c>
      <c r="BL15" s="16">
        <f t="shared" ca="1" si="6"/>
        <v>6080720.0915167853</v>
      </c>
      <c r="BM15" s="16"/>
      <c r="BN15" s="16">
        <f t="shared" ca="1" si="34"/>
        <v>4750248.8168344293</v>
      </c>
      <c r="BQ15" s="16">
        <f t="shared" si="7"/>
        <v>23866.856305405032</v>
      </c>
      <c r="BS15" s="30">
        <f t="shared" ca="1" si="8"/>
        <v>1.4298261911801849E-2</v>
      </c>
      <c r="BU15" s="30">
        <f t="shared" ca="1" si="35"/>
        <v>1.8355504690201974E-2</v>
      </c>
    </row>
    <row r="16" spans="1:73" x14ac:dyDescent="0.3">
      <c r="A16" s="36">
        <f t="shared" ca="1" si="0"/>
        <v>4096090.1040343465</v>
      </c>
      <c r="B16" s="36">
        <f t="shared" ca="1" si="1"/>
        <v>1365363.3680114485</v>
      </c>
      <c r="C16" s="36">
        <f t="shared" ca="1" si="54"/>
        <v>811646.88612388633</v>
      </c>
      <c r="D16" s="30">
        <f t="shared" ca="1" si="55"/>
        <v>0.60138628566950825</v>
      </c>
      <c r="E16" s="23">
        <f t="shared" ca="1" si="36"/>
        <v>3.3000000000000002E-2</v>
      </c>
      <c r="F16" s="30">
        <f t="shared" si="56"/>
        <v>3.3000000000000002E-2</v>
      </c>
      <c r="G16" s="23">
        <v>24.7</v>
      </c>
      <c r="H16" s="23">
        <f t="shared" si="60"/>
        <v>0</v>
      </c>
      <c r="I16" s="23">
        <f t="shared" si="62"/>
        <v>24.7</v>
      </c>
      <c r="J16" s="16">
        <f t="shared" ca="1" si="37"/>
        <v>132973.40963200244</v>
      </c>
      <c r="K16" s="16">
        <f t="shared" ca="1" si="2"/>
        <v>0</v>
      </c>
      <c r="L16" s="16">
        <f t="shared" ca="1" si="9"/>
        <v>0</v>
      </c>
      <c r="M16" s="23">
        <f t="shared" ca="1" si="63"/>
        <v>0</v>
      </c>
      <c r="N16" s="23">
        <f t="shared" ca="1" si="64"/>
        <v>0</v>
      </c>
      <c r="O16" s="23">
        <f t="shared" ca="1" si="65"/>
        <v>0</v>
      </c>
      <c r="P16" s="23">
        <f t="shared" ca="1" si="66"/>
        <v>0</v>
      </c>
      <c r="Q16" s="23">
        <f t="shared" ca="1" si="67"/>
        <v>0</v>
      </c>
      <c r="R16" s="30">
        <f t="shared" ca="1" si="68"/>
        <v>0.17</v>
      </c>
      <c r="S16" s="23">
        <f t="shared" si="61"/>
        <v>0</v>
      </c>
      <c r="T16" s="23">
        <f t="shared" si="17"/>
        <v>0</v>
      </c>
      <c r="V16" s="30">
        <f t="shared" si="38"/>
        <v>1.1000000000000003E-3</v>
      </c>
      <c r="W16" s="23">
        <f t="shared" si="59"/>
        <v>138744.81132159164</v>
      </c>
      <c r="X16">
        <f t="shared" si="18"/>
        <v>0</v>
      </c>
      <c r="Y16">
        <f t="shared" si="19"/>
        <v>0</v>
      </c>
      <c r="Z16">
        <f t="shared" si="20"/>
        <v>23866.856305405032</v>
      </c>
      <c r="AA16">
        <f>IF(MAX(AY$5:AY16)&gt;1,AA15+1,0)</f>
        <v>0</v>
      </c>
      <c r="AB16">
        <f>IF(MAX(AY$5:AY16)&gt;1,1,0)</f>
        <v>0</v>
      </c>
      <c r="AC16" t="str">
        <f t="shared" ca="1" si="3"/>
        <v>DECLINE</v>
      </c>
      <c r="AD16">
        <f t="shared" ca="1" si="21"/>
        <v>0</v>
      </c>
      <c r="AE16" s="23">
        <f t="shared" si="22"/>
        <v>1</v>
      </c>
      <c r="AF16">
        <f t="shared" ca="1" si="23"/>
        <v>1</v>
      </c>
      <c r="AH16">
        <f t="shared" si="24"/>
        <v>1</v>
      </c>
      <c r="AI16">
        <f t="shared" si="39"/>
        <v>12</v>
      </c>
      <c r="AJ16" s="15">
        <f t="shared" ca="1" si="25"/>
        <v>13.083333333333334</v>
      </c>
      <c r="AK16">
        <f t="shared" si="26"/>
        <v>77</v>
      </c>
      <c r="AL16">
        <f t="shared" si="40"/>
        <v>1</v>
      </c>
      <c r="AM16" s="3" t="str">
        <f t="shared" si="41"/>
        <v/>
      </c>
      <c r="AN16">
        <f t="shared" si="27"/>
        <v>71</v>
      </c>
      <c r="AO16">
        <f t="shared" si="42"/>
        <v>1</v>
      </c>
      <c r="AP16" s="3" t="str">
        <f t="shared" si="28"/>
        <v/>
      </c>
      <c r="AQ16">
        <f t="shared" si="29"/>
        <v>30</v>
      </c>
      <c r="AR16" s="10">
        <f t="shared" si="43"/>
        <v>48214</v>
      </c>
      <c r="AS16">
        <f t="shared" si="44"/>
        <v>12</v>
      </c>
      <c r="AT16" s="30">
        <f t="shared" si="45"/>
        <v>3.3000000000000002E-2</v>
      </c>
      <c r="AU16" s="16">
        <f t="shared" ca="1" si="46"/>
        <v>5461453.4720457951</v>
      </c>
      <c r="AV16" s="1"/>
      <c r="AW16" s="1" t="str">
        <f t="shared" ca="1" si="47"/>
        <v/>
      </c>
      <c r="AX16" s="16">
        <f t="shared" si="4"/>
        <v>0</v>
      </c>
      <c r="AY16" s="16"/>
      <c r="AZ16" s="1">
        <f t="shared" si="57"/>
        <v>162611.66762699667</v>
      </c>
      <c r="BA16" s="16">
        <f t="shared" si="30"/>
        <v>0</v>
      </c>
      <c r="BB16" s="28">
        <f t="shared" si="48"/>
        <v>36937.863590421221</v>
      </c>
      <c r="BC16" s="16">
        <f t="shared" si="49"/>
        <v>16664.351514796868</v>
      </c>
      <c r="BD16" s="16">
        <f t="shared" si="50"/>
        <v>30920.160359348229</v>
      </c>
      <c r="BE16" s="16">
        <f t="shared" ca="1" si="51"/>
        <v>0</v>
      </c>
      <c r="BF16" s="16">
        <f t="shared" ca="1" si="31"/>
        <v>0</v>
      </c>
      <c r="BG16" s="16">
        <f t="shared" ca="1" si="32"/>
        <v>84522.375464566314</v>
      </c>
      <c r="BH16" s="16">
        <f t="shared" si="5"/>
        <v>0</v>
      </c>
      <c r="BI16" s="16">
        <f t="shared" ca="1" si="33"/>
        <v>-78089.292162430356</v>
      </c>
      <c r="BJ16" s="16">
        <f t="shared" si="52"/>
        <v>0</v>
      </c>
      <c r="BK16" s="16">
        <f t="shared" ca="1" si="53"/>
        <v>98440.804178647697</v>
      </c>
      <c r="BL16" s="16">
        <f t="shared" ca="1" si="6"/>
        <v>6206074.924082295</v>
      </c>
      <c r="BM16" s="16"/>
      <c r="BN16" s="16">
        <f t="shared" ca="1" si="34"/>
        <v>4729927.6211543437</v>
      </c>
      <c r="BQ16" s="16">
        <f t="shared" si="7"/>
        <v>24463.527713040152</v>
      </c>
      <c r="BS16" s="30">
        <f t="shared" ca="1" si="8"/>
        <v>1.4416584073010391E-2</v>
      </c>
      <c r="BU16" s="30">
        <f t="shared" ca="1" si="35"/>
        <v>1.8229895445108557E-2</v>
      </c>
    </row>
    <row r="17" spans="1:73" x14ac:dyDescent="0.3">
      <c r="A17" s="36">
        <f t="shared" ca="1" si="0"/>
        <v>4170761.3983646361</v>
      </c>
      <c r="B17" s="36">
        <f t="shared" ca="1" si="1"/>
        <v>1390253.799454879</v>
      </c>
      <c r="C17" s="36">
        <f t="shared" ca="1" si="54"/>
        <v>811646.88612388633</v>
      </c>
      <c r="D17" s="30">
        <f t="shared" ca="1" si="55"/>
        <v>0.60404699371400117</v>
      </c>
      <c r="E17" s="23">
        <f t="shared" ca="1" si="36"/>
        <v>3.3000000000000002E-2</v>
      </c>
      <c r="F17" s="30">
        <f t="shared" si="56"/>
        <v>3.3000000000000002E-2</v>
      </c>
      <c r="G17" s="23">
        <v>23.8</v>
      </c>
      <c r="H17" s="23">
        <f t="shared" si="60"/>
        <v>0</v>
      </c>
      <c r="I17" s="23">
        <f t="shared" si="62"/>
        <v>23.8</v>
      </c>
      <c r="J17" s="16">
        <f t="shared" ca="1" si="37"/>
        <v>141139.26522019957</v>
      </c>
      <c r="K17" s="16">
        <f t="shared" ca="1" si="2"/>
        <v>0</v>
      </c>
      <c r="L17" s="16">
        <f t="shared" ca="1" si="9"/>
        <v>0</v>
      </c>
      <c r="M17" s="23">
        <f t="shared" ca="1" si="63"/>
        <v>0</v>
      </c>
      <c r="N17" s="23">
        <f t="shared" ca="1" si="64"/>
        <v>0</v>
      </c>
      <c r="O17" s="23">
        <f t="shared" ca="1" si="65"/>
        <v>0</v>
      </c>
      <c r="P17" s="23">
        <f t="shared" ca="1" si="66"/>
        <v>0</v>
      </c>
      <c r="Q17" s="23">
        <f t="shared" ca="1" si="67"/>
        <v>0</v>
      </c>
      <c r="R17" s="30">
        <f t="shared" ca="1" si="68"/>
        <v>0.17</v>
      </c>
      <c r="S17" s="23">
        <f t="shared" si="61"/>
        <v>0</v>
      </c>
      <c r="T17" s="23">
        <f t="shared" si="17"/>
        <v>0</v>
      </c>
      <c r="V17" s="30">
        <f t="shared" si="38"/>
        <v>1.2000000000000003E-3</v>
      </c>
      <c r="W17" s="23">
        <f t="shared" si="59"/>
        <v>141894.40794358333</v>
      </c>
      <c r="X17">
        <f t="shared" si="18"/>
        <v>0</v>
      </c>
      <c r="Y17">
        <f t="shared" si="19"/>
        <v>0</v>
      </c>
      <c r="Z17">
        <f t="shared" si="20"/>
        <v>24463.527713040152</v>
      </c>
      <c r="AA17">
        <f>IF(MAX(AY$5:AY17)&gt;1,AA16+1,0)</f>
        <v>0</v>
      </c>
      <c r="AB17">
        <f>IF(MAX(AY$5:AY17)&gt;1,1,0)</f>
        <v>0</v>
      </c>
      <c r="AC17" t="str">
        <f t="shared" ca="1" si="3"/>
        <v>DECLINE</v>
      </c>
      <c r="AD17">
        <f t="shared" ca="1" si="21"/>
        <v>0</v>
      </c>
      <c r="AE17" s="23">
        <f t="shared" si="22"/>
        <v>1</v>
      </c>
      <c r="AF17">
        <f t="shared" ca="1" si="23"/>
        <v>1</v>
      </c>
      <c r="AH17">
        <f t="shared" si="24"/>
        <v>1</v>
      </c>
      <c r="AI17">
        <f t="shared" si="39"/>
        <v>13</v>
      </c>
      <c r="AJ17" s="15">
        <f t="shared" ca="1" si="25"/>
        <v>14.083333333333334</v>
      </c>
      <c r="AK17">
        <f t="shared" si="26"/>
        <v>78</v>
      </c>
      <c r="AL17">
        <f t="shared" si="40"/>
        <v>1</v>
      </c>
      <c r="AM17" s="3" t="str">
        <f t="shared" si="41"/>
        <v/>
      </c>
      <c r="AN17">
        <f t="shared" si="27"/>
        <v>72</v>
      </c>
      <c r="AO17">
        <f t="shared" si="42"/>
        <v>1</v>
      </c>
      <c r="AP17" s="3" t="str">
        <f t="shared" si="28"/>
        <v/>
      </c>
      <c r="AQ17">
        <f t="shared" si="29"/>
        <v>31</v>
      </c>
      <c r="AR17" s="10">
        <f t="shared" si="43"/>
        <v>48580</v>
      </c>
      <c r="AS17">
        <f t="shared" si="44"/>
        <v>13</v>
      </c>
      <c r="AT17" s="30">
        <f t="shared" si="45"/>
        <v>3.3000000000000002E-2</v>
      </c>
      <c r="AU17" s="16">
        <f t="shared" ca="1" si="46"/>
        <v>5561015.1978195151</v>
      </c>
      <c r="AV17" s="1"/>
      <c r="AW17" s="1" t="str">
        <f t="shared" ca="1" si="47"/>
        <v/>
      </c>
      <c r="AX17" s="16">
        <f t="shared" si="4"/>
        <v>0</v>
      </c>
      <c r="AY17" s="16"/>
      <c r="AZ17" s="1">
        <f t="shared" si="57"/>
        <v>166357.93565662348</v>
      </c>
      <c r="BA17" s="16">
        <f t="shared" si="30"/>
        <v>0</v>
      </c>
      <c r="BB17" s="28">
        <f t="shared" si="48"/>
        <v>37861.310180181747</v>
      </c>
      <c r="BC17" s="16">
        <f t="shared" si="49"/>
        <v>17080.96030266679</v>
      </c>
      <c r="BD17" s="16">
        <f t="shared" si="50"/>
        <v>31244.822043121385</v>
      </c>
      <c r="BE17" s="16">
        <f t="shared" ca="1" si="51"/>
        <v>0</v>
      </c>
      <c r="BF17" s="16">
        <f t="shared" ca="1" si="31"/>
        <v>0</v>
      </c>
      <c r="BG17" s="16">
        <f t="shared" ca="1" si="32"/>
        <v>86187.092525969929</v>
      </c>
      <c r="BH17" s="16">
        <f t="shared" si="5"/>
        <v>0</v>
      </c>
      <c r="BI17" s="16">
        <f ca="1">(AZ17-BG17+L17)*-1</f>
        <v>-80170.843130653549</v>
      </c>
      <c r="BJ17" s="16">
        <f t="shared" si="52"/>
        <v>0</v>
      </c>
      <c r="BK17" s="16">
        <f t="shared" ca="1" si="53"/>
        <v>99561.725773720071</v>
      </c>
      <c r="BL17" s="16">
        <f t="shared" ca="1" si="6"/>
        <v>6333559.9543073839</v>
      </c>
      <c r="BM17" s="16"/>
      <c r="BN17" s="16">
        <f t="shared" ca="1" si="34"/>
        <v>4709355.7773125498</v>
      </c>
      <c r="BQ17" s="16">
        <f t="shared" si="7"/>
        <v>25075.115905866158</v>
      </c>
      <c r="BS17" s="30">
        <f t="shared" ca="1" si="8"/>
        <v>1.4531564481048026E-2</v>
      </c>
      <c r="BU17" s="30">
        <f t="shared" ca="1" si="35"/>
        <v>1.8107668652580067E-2</v>
      </c>
    </row>
    <row r="18" spans="1:73" x14ac:dyDescent="0.3">
      <c r="A18" s="36">
        <f t="shared" ca="1" si="0"/>
        <v>4246284.1637951946</v>
      </c>
      <c r="B18" s="36">
        <f t="shared" ca="1" si="1"/>
        <v>1415428.0545983985</v>
      </c>
      <c r="C18" s="36">
        <f t="shared" ca="1" si="54"/>
        <v>811646.88612388633</v>
      </c>
      <c r="D18" s="30">
        <f t="shared" ca="1" si="55"/>
        <v>0.60664285735205092</v>
      </c>
      <c r="E18" s="23">
        <f t="shared" ca="1" si="36"/>
        <v>3.3000000000000002E-2</v>
      </c>
      <c r="F18" s="30">
        <f t="shared" si="56"/>
        <v>3.3000000000000002E-2</v>
      </c>
      <c r="G18" s="23">
        <v>22.9</v>
      </c>
      <c r="H18" s="23">
        <f>G13</f>
        <v>27.4</v>
      </c>
      <c r="I18" s="23">
        <f t="shared" si="62"/>
        <v>22.9</v>
      </c>
      <c r="J18" s="16">
        <f t="shared" ca="1" si="37"/>
        <v>149984.16059700036</v>
      </c>
      <c r="K18" s="16">
        <f t="shared" ca="1" si="2"/>
        <v>0</v>
      </c>
      <c r="L18" s="16">
        <f t="shared" ca="1" si="9"/>
        <v>0</v>
      </c>
      <c r="M18" s="23">
        <f t="shared" ca="1" si="63"/>
        <v>0</v>
      </c>
      <c r="N18" s="23">
        <f t="shared" ca="1" si="64"/>
        <v>0</v>
      </c>
      <c r="O18" s="23">
        <f t="shared" ca="1" si="65"/>
        <v>0</v>
      </c>
      <c r="P18" s="23">
        <f t="shared" ca="1" si="66"/>
        <v>0</v>
      </c>
      <c r="Q18" s="23">
        <f t="shared" ca="1" si="67"/>
        <v>0</v>
      </c>
      <c r="R18" s="30">
        <f t="shared" ca="1" si="68"/>
        <v>0.17</v>
      </c>
      <c r="S18" s="23">
        <f t="shared" si="61"/>
        <v>0</v>
      </c>
      <c r="T18" s="23">
        <f t="shared" si="17"/>
        <v>0</v>
      </c>
      <c r="V18" s="30">
        <f t="shared" si="38"/>
        <v>1.3000000000000004E-3</v>
      </c>
      <c r="W18" s="23">
        <f t="shared" si="59"/>
        <v>145087.14018835171</v>
      </c>
      <c r="X18">
        <f t="shared" si="18"/>
        <v>0</v>
      </c>
      <c r="Y18">
        <f t="shared" si="19"/>
        <v>0</v>
      </c>
      <c r="Z18">
        <f t="shared" si="20"/>
        <v>25075.115905866158</v>
      </c>
      <c r="AA18">
        <f>IF(MAX(AY$5:AY18)&gt;1,AA17+1,0)</f>
        <v>0</v>
      </c>
      <c r="AB18">
        <f>IF(MAX(AY$5:AY18)&gt;1,1,0)</f>
        <v>0</v>
      </c>
      <c r="AC18" t="str">
        <f t="shared" ca="1" si="3"/>
        <v>DECLINE</v>
      </c>
      <c r="AD18">
        <f t="shared" ca="1" si="21"/>
        <v>0</v>
      </c>
      <c r="AE18" s="23">
        <f t="shared" si="22"/>
        <v>1</v>
      </c>
      <c r="AF18">
        <f t="shared" ca="1" si="23"/>
        <v>1</v>
      </c>
      <c r="AH18">
        <f t="shared" si="24"/>
        <v>1</v>
      </c>
      <c r="AI18">
        <f t="shared" si="39"/>
        <v>14</v>
      </c>
      <c r="AJ18" s="15">
        <f t="shared" ca="1" si="25"/>
        <v>15.083333333333334</v>
      </c>
      <c r="AK18">
        <f t="shared" si="26"/>
        <v>79</v>
      </c>
      <c r="AL18">
        <f t="shared" si="40"/>
        <v>1</v>
      </c>
      <c r="AM18" s="3" t="str">
        <f t="shared" si="41"/>
        <v/>
      </c>
      <c r="AN18">
        <f t="shared" si="27"/>
        <v>73</v>
      </c>
      <c r="AO18">
        <f t="shared" si="42"/>
        <v>1</v>
      </c>
      <c r="AP18" s="3" t="str">
        <f t="shared" si="28"/>
        <v/>
      </c>
      <c r="AQ18">
        <f t="shared" si="29"/>
        <v>32</v>
      </c>
      <c r="AR18" s="10">
        <f t="shared" si="43"/>
        <v>48945</v>
      </c>
      <c r="AS18">
        <f t="shared" si="44"/>
        <v>14</v>
      </c>
      <c r="AT18" s="30">
        <f t="shared" si="45"/>
        <v>3.3000000000000002E-2</v>
      </c>
      <c r="AU18" s="16">
        <f t="shared" ca="1" si="46"/>
        <v>5661712.2183935931</v>
      </c>
      <c r="AV18" s="1"/>
      <c r="AW18" s="1" t="str">
        <f t="shared" ca="1" si="47"/>
        <v/>
      </c>
      <c r="AX18" s="16">
        <f t="shared" si="4"/>
        <v>0</v>
      </c>
      <c r="AY18" s="16"/>
      <c r="AZ18" s="1">
        <f t="shared" si="57"/>
        <v>170162.25609421788</v>
      </c>
      <c r="BA18" s="16">
        <f t="shared" si="30"/>
        <v>0</v>
      </c>
      <c r="BB18" s="28">
        <f t="shared" si="48"/>
        <v>38807.84293468629</v>
      </c>
      <c r="BC18" s="16">
        <f t="shared" si="49"/>
        <v>17507.98431023346</v>
      </c>
      <c r="BD18" s="16">
        <f t="shared" si="50"/>
        <v>31572.892674574159</v>
      </c>
      <c r="BE18" s="16">
        <f t="shared" ca="1" si="51"/>
        <v>0</v>
      </c>
      <c r="BF18" s="16">
        <f t="shared" ca="1" si="31"/>
        <v>0</v>
      </c>
      <c r="BG18" s="16">
        <f t="shared" ca="1" si="32"/>
        <v>87888.719919493917</v>
      </c>
      <c r="BH18" s="16">
        <f t="shared" si="5"/>
        <v>0</v>
      </c>
      <c r="BI18" s="16">
        <f t="shared" ca="1" si="33"/>
        <v>-82273.536174723966</v>
      </c>
      <c r="BJ18" s="16">
        <f t="shared" si="52"/>
        <v>0</v>
      </c>
      <c r="BK18" s="16">
        <f t="shared" ca="1" si="53"/>
        <v>100697.02057407796</v>
      </c>
      <c r="BL18" s="16">
        <f t="shared" ca="1" si="6"/>
        <v>6463227.4032497564</v>
      </c>
      <c r="BM18" s="16"/>
      <c r="BN18" s="16">
        <f t="shared" ca="1" si="34"/>
        <v>4688556.8508024029</v>
      </c>
      <c r="BQ18" s="16">
        <f t="shared" si="7"/>
        <v>25701.993803512811</v>
      </c>
      <c r="BS18" s="30">
        <f t="shared" ca="1" si="8"/>
        <v>1.4643132515718468E-2</v>
      </c>
      <c r="BU18" s="30">
        <f t="shared" ca="1" si="35"/>
        <v>1.7988893891077273E-2</v>
      </c>
    </row>
    <row r="19" spans="1:73" x14ac:dyDescent="0.3">
      <c r="A19" s="36">
        <f t="shared" ca="1" si="0"/>
        <v>4322670.1190490685</v>
      </c>
      <c r="B19" s="36">
        <f t="shared" ca="1" si="1"/>
        <v>1440890.0396830225</v>
      </c>
      <c r="C19" s="36">
        <f t="shared" ca="1" si="54"/>
        <v>811646.88612388633</v>
      </c>
      <c r="D19" s="30">
        <f t="shared" ca="1" si="55"/>
        <v>0.60917612313038849</v>
      </c>
      <c r="E19" s="23">
        <f t="shared" ca="1" si="36"/>
        <v>3.3000000000000002E-2</v>
      </c>
      <c r="F19" s="30">
        <f t="shared" si="56"/>
        <v>3.3000000000000002E-2</v>
      </c>
      <c r="G19" s="23">
        <v>22</v>
      </c>
      <c r="H19" s="23">
        <f t="shared" ref="H19:H40" si="69">G14</f>
        <v>26.5</v>
      </c>
      <c r="I19" s="23">
        <f t="shared" si="62"/>
        <v>22</v>
      </c>
      <c r="J19" s="16">
        <f t="shared" ca="1" si="37"/>
        <v>159591.9651329628</v>
      </c>
      <c r="K19" s="16">
        <f ca="1">IF(J19-AZ19&gt;0,J19-AZ19,0)</f>
        <v>0</v>
      </c>
      <c r="L19" s="16">
        <f ca="1">K19*R19</f>
        <v>0</v>
      </c>
      <c r="M19" s="23">
        <f t="shared" ca="1" si="63"/>
        <v>0</v>
      </c>
      <c r="N19" s="23">
        <f t="shared" ca="1" si="64"/>
        <v>0</v>
      </c>
      <c r="O19" s="23">
        <f t="shared" ca="1" si="65"/>
        <v>0</v>
      </c>
      <c r="P19" s="23">
        <f t="shared" ca="1" si="66"/>
        <v>0</v>
      </c>
      <c r="Q19" s="23">
        <f t="shared" ca="1" si="67"/>
        <v>0</v>
      </c>
      <c r="R19" s="30">
        <f t="shared" ca="1" si="68"/>
        <v>0.17</v>
      </c>
      <c r="S19" s="23">
        <f t="shared" si="61"/>
        <v>0</v>
      </c>
      <c r="T19" s="23">
        <f t="shared" si="17"/>
        <v>0</v>
      </c>
      <c r="V19" s="30">
        <f t="shared" si="38"/>
        <v>1.4000000000000004E-3</v>
      </c>
      <c r="W19" s="23">
        <f t="shared" si="59"/>
        <v>148322.7123368165</v>
      </c>
      <c r="X19">
        <f t="shared" si="18"/>
        <v>0</v>
      </c>
      <c r="Y19">
        <f t="shared" si="19"/>
        <v>0</v>
      </c>
      <c r="Z19">
        <f t="shared" si="20"/>
        <v>25701.993803512811</v>
      </c>
      <c r="AA19">
        <f>IF(MAX(AY$5:AY19)&gt;1,AA18+1,0)</f>
        <v>0</v>
      </c>
      <c r="AB19">
        <f>IF(MAX(AY$5:AY19)&gt;1,1,0)</f>
        <v>0</v>
      </c>
      <c r="AC19" t="str">
        <f t="shared" ca="1" si="3"/>
        <v>DECLINE</v>
      </c>
      <c r="AD19">
        <f t="shared" ca="1" si="21"/>
        <v>0</v>
      </c>
      <c r="AE19" s="23">
        <f t="shared" si="22"/>
        <v>1</v>
      </c>
      <c r="AF19">
        <f t="shared" ca="1" si="23"/>
        <v>1</v>
      </c>
      <c r="AH19">
        <f t="shared" si="24"/>
        <v>1</v>
      </c>
      <c r="AI19">
        <f t="shared" si="39"/>
        <v>15</v>
      </c>
      <c r="AJ19" s="15">
        <f t="shared" ca="1" si="25"/>
        <v>16.083333333333332</v>
      </c>
      <c r="AK19">
        <f t="shared" si="26"/>
        <v>80</v>
      </c>
      <c r="AL19">
        <f t="shared" si="40"/>
        <v>1</v>
      </c>
      <c r="AM19" s="3" t="str">
        <f t="shared" si="41"/>
        <v/>
      </c>
      <c r="AN19">
        <f t="shared" si="27"/>
        <v>74</v>
      </c>
      <c r="AO19">
        <f t="shared" si="42"/>
        <v>1</v>
      </c>
      <c r="AP19" s="3" t="str">
        <f t="shared" si="28"/>
        <v/>
      </c>
      <c r="AQ19">
        <f t="shared" si="29"/>
        <v>33</v>
      </c>
      <c r="AR19" s="10">
        <f t="shared" si="43"/>
        <v>49310</v>
      </c>
      <c r="AS19">
        <f t="shared" si="44"/>
        <v>15</v>
      </c>
      <c r="AT19" s="30">
        <f t="shared" si="45"/>
        <v>3.3000000000000002E-2</v>
      </c>
      <c r="AU19" s="16">
        <f t="shared" ca="1" si="46"/>
        <v>5763560.1587320911</v>
      </c>
      <c r="AV19" s="1"/>
      <c r="AW19" s="1" t="str">
        <f t="shared" ca="1" si="47"/>
        <v/>
      </c>
      <c r="AX19" s="16">
        <f t="shared" si="4"/>
        <v>0</v>
      </c>
      <c r="AY19" s="16"/>
      <c r="AZ19" s="1">
        <f>((W19+X19+Y19+Z19)*AE19*AH19)+(T19)</f>
        <v>174024.7061403293</v>
      </c>
      <c r="BA19" s="16">
        <f t="shared" si="30"/>
        <v>0</v>
      </c>
      <c r="BB19" s="28">
        <f t="shared" si="48"/>
        <v>39778.039008053442</v>
      </c>
      <c r="BC19" s="16">
        <f t="shared" si="49"/>
        <v>17945.683917989296</v>
      </c>
      <c r="BD19" s="16">
        <f t="shared" si="50"/>
        <v>31904.408047657187</v>
      </c>
      <c r="BE19" s="16">
        <f t="shared" ca="1" si="51"/>
        <v>0</v>
      </c>
      <c r="BF19" s="16">
        <f t="shared" ca="1" si="31"/>
        <v>0</v>
      </c>
      <c r="BG19" s="16">
        <f t="shared" ca="1" si="32"/>
        <v>89628.130973699925</v>
      </c>
      <c r="BH19" s="16">
        <f t="shared" si="5"/>
        <v>0</v>
      </c>
      <c r="BI19" s="16">
        <f ca="1">(AZ19-BG19+L19)*-1</f>
        <v>-84396.57516662938</v>
      </c>
      <c r="BJ19" s="16">
        <f t="shared" si="52"/>
        <v>0</v>
      </c>
      <c r="BK19" s="16">
        <f t="shared" ca="1" si="53"/>
        <v>101847.94033849798</v>
      </c>
      <c r="BL19" s="16">
        <f t="shared" ca="1" si="6"/>
        <v>6595132.1630203612</v>
      </c>
      <c r="BM19" s="16"/>
      <c r="BN19" s="16">
        <f t="shared" ca="1" si="34"/>
        <v>4667554.3914007228</v>
      </c>
      <c r="BQ19" s="16">
        <f t="shared" si="7"/>
        <v>26344.543648600629</v>
      </c>
      <c r="BS19" s="30">
        <f t="shared" ca="1" si="8"/>
        <v>1.4751214328187387E-2</v>
      </c>
      <c r="BU19" s="30">
        <f t="shared" ca="1" si="35"/>
        <v>1.7873644111262799E-2</v>
      </c>
    </row>
    <row r="20" spans="1:73" x14ac:dyDescent="0.3">
      <c r="A20" s="36">
        <f t="shared" ca="1" si="0"/>
        <v>4399931.9863673411</v>
      </c>
      <c r="B20" s="36">
        <f t="shared" ca="1" si="1"/>
        <v>1466643.9954557801</v>
      </c>
      <c r="C20" s="36">
        <f t="shared" ca="1" si="54"/>
        <v>811646.88612388633</v>
      </c>
      <c r="D20" s="30">
        <f t="shared" ca="1" si="55"/>
        <v>0.61164896037506788</v>
      </c>
      <c r="E20" s="23">
        <f t="shared" ca="1" si="36"/>
        <v>3.3000000000000002E-2</v>
      </c>
      <c r="F20" s="30">
        <f t="shared" si="56"/>
        <v>3.3000000000000002E-2</v>
      </c>
      <c r="G20" s="23">
        <v>21.2</v>
      </c>
      <c r="H20" s="23">
        <f t="shared" si="69"/>
        <v>25.6</v>
      </c>
      <c r="I20" s="23">
        <f t="shared" si="62"/>
        <v>21.2</v>
      </c>
      <c r="J20" s="16">
        <f t="shared" ca="1" si="37"/>
        <v>169258.73114355921</v>
      </c>
      <c r="K20" s="16">
        <f t="shared" ca="1" si="2"/>
        <v>0</v>
      </c>
      <c r="L20" s="16">
        <f t="shared" ca="1" si="9"/>
        <v>0</v>
      </c>
      <c r="M20" s="23">
        <f t="shared" ca="1" si="63"/>
        <v>0</v>
      </c>
      <c r="N20" s="23">
        <f t="shared" ca="1" si="64"/>
        <v>0</v>
      </c>
      <c r="O20" s="23">
        <f t="shared" ca="1" si="65"/>
        <v>0</v>
      </c>
      <c r="P20" s="23">
        <f t="shared" ca="1" si="66"/>
        <v>0</v>
      </c>
      <c r="Q20" s="23">
        <f t="shared" ca="1" si="67"/>
        <v>0</v>
      </c>
      <c r="R20" s="30">
        <f t="shared" ca="1" si="68"/>
        <v>0.17</v>
      </c>
      <c r="S20" s="23">
        <f t="shared" si="61"/>
        <v>0</v>
      </c>
      <c r="T20" s="23">
        <f t="shared" si="17"/>
        <v>0</v>
      </c>
      <c r="V20" s="30">
        <f t="shared" si="38"/>
        <v>1.5000000000000005E-3</v>
      </c>
      <c r="W20" s="23">
        <f t="shared" si="59"/>
        <v>151600.79636321997</v>
      </c>
      <c r="X20">
        <f t="shared" si="18"/>
        <v>0</v>
      </c>
      <c r="Y20">
        <f t="shared" si="19"/>
        <v>0</v>
      </c>
      <c r="Z20">
        <f t="shared" si="20"/>
        <v>26344.543648600629</v>
      </c>
      <c r="AA20">
        <f>IF(MAX(AY$5:AY20)&gt;1,AA19+1,0)</f>
        <v>0</v>
      </c>
      <c r="AB20">
        <f>IF(MAX(AY$5:AY20)&gt;1,1,0)</f>
        <v>0</v>
      </c>
      <c r="AC20" t="str">
        <f t="shared" ca="1" si="3"/>
        <v>DECLINE</v>
      </c>
      <c r="AD20">
        <f t="shared" ca="1" si="21"/>
        <v>0</v>
      </c>
      <c r="AE20" s="23">
        <f t="shared" si="22"/>
        <v>1</v>
      </c>
      <c r="AF20">
        <f t="shared" ca="1" si="23"/>
        <v>1</v>
      </c>
      <c r="AH20">
        <f t="shared" si="24"/>
        <v>1</v>
      </c>
      <c r="AI20">
        <f t="shared" si="39"/>
        <v>16</v>
      </c>
      <c r="AJ20" s="15">
        <f t="shared" ca="1" si="25"/>
        <v>17.083333333333332</v>
      </c>
      <c r="AK20">
        <f t="shared" si="26"/>
        <v>81</v>
      </c>
      <c r="AL20">
        <f t="shared" si="40"/>
        <v>1</v>
      </c>
      <c r="AM20" s="3" t="str">
        <f t="shared" si="41"/>
        <v/>
      </c>
      <c r="AN20">
        <f t="shared" si="27"/>
        <v>75</v>
      </c>
      <c r="AO20">
        <f t="shared" si="42"/>
        <v>1</v>
      </c>
      <c r="AP20" s="3" t="str">
        <f t="shared" si="28"/>
        <v/>
      </c>
      <c r="AQ20">
        <f t="shared" si="29"/>
        <v>34</v>
      </c>
      <c r="AR20" s="10">
        <f t="shared" si="43"/>
        <v>49675</v>
      </c>
      <c r="AS20">
        <f t="shared" si="44"/>
        <v>16</v>
      </c>
      <c r="AT20" s="30">
        <f t="shared" si="45"/>
        <v>3.3000000000000002E-2</v>
      </c>
      <c r="AU20" s="16">
        <f t="shared" ca="1" si="46"/>
        <v>5866575.9818231212</v>
      </c>
      <c r="AV20" s="1"/>
      <c r="AW20" s="1" t="str">
        <f t="shared" ca="1" si="47"/>
        <v/>
      </c>
      <c r="AX20" s="16">
        <f t="shared" si="4"/>
        <v>0</v>
      </c>
      <c r="AY20" s="16"/>
      <c r="AZ20" s="1">
        <f t="shared" si="57"/>
        <v>177945.3400118206</v>
      </c>
      <c r="BA20" s="16">
        <f t="shared" si="30"/>
        <v>0</v>
      </c>
      <c r="BB20" s="28">
        <f t="shared" si="48"/>
        <v>40772.489983254774</v>
      </c>
      <c r="BC20" s="16">
        <f t="shared" si="49"/>
        <v>18394.326015939027</v>
      </c>
      <c r="BD20" s="16">
        <f t="shared" si="50"/>
        <v>32239.404332157585</v>
      </c>
      <c r="BE20" s="16">
        <f t="shared" ca="1" si="51"/>
        <v>0</v>
      </c>
      <c r="BF20" s="16">
        <f t="shared" ca="1" si="31"/>
        <v>0</v>
      </c>
      <c r="BG20" s="16">
        <f t="shared" ca="1" si="32"/>
        <v>91406.220331351389</v>
      </c>
      <c r="BH20" s="16">
        <f t="shared" si="5"/>
        <v>0</v>
      </c>
      <c r="BI20" s="16">
        <f t="shared" ca="1" si="33"/>
        <v>-86539.119680469215</v>
      </c>
      <c r="BJ20" s="16">
        <f t="shared" si="52"/>
        <v>0</v>
      </c>
      <c r="BK20" s="16">
        <f t="shared" ca="1" si="53"/>
        <v>103015.82309103012</v>
      </c>
      <c r="BL20" s="16">
        <f t="shared" ca="1" si="6"/>
        <v>6729331.9362722011</v>
      </c>
      <c r="BM20" s="16"/>
      <c r="BN20" s="16">
        <f t="shared" ca="1" si="34"/>
        <v>4646371.9225325556</v>
      </c>
      <c r="BQ20" s="16">
        <f t="shared" si="7"/>
        <v>27003.157239815642</v>
      </c>
      <c r="BS20" s="30">
        <f t="shared" ca="1" si="8"/>
        <v>1.4855732881370681E-2</v>
      </c>
      <c r="BU20" s="30">
        <f t="shared" ca="1" si="35"/>
        <v>1.7761995598982505E-2</v>
      </c>
    </row>
    <row r="21" spans="1:73" x14ac:dyDescent="0.3">
      <c r="A21" s="36">
        <f t="shared" ca="1" si="0"/>
        <v>4478083.5589450197</v>
      </c>
      <c r="B21" s="36">
        <f t="shared" ca="1" si="1"/>
        <v>1492694.5196483396</v>
      </c>
      <c r="C21" s="36">
        <f t="shared" ca="1" si="54"/>
        <v>811646.88612388633</v>
      </c>
      <c r="D21" s="30">
        <f t="shared" ca="1" si="55"/>
        <v>0.61406346452000449</v>
      </c>
      <c r="E21" s="23">
        <f t="shared" ca="1" si="36"/>
        <v>3.3000000000000002E-2</v>
      </c>
      <c r="F21" s="30">
        <f t="shared" si="56"/>
        <v>3.3000000000000002E-2</v>
      </c>
      <c r="G21" s="23">
        <v>20.3</v>
      </c>
      <c r="H21" s="23">
        <f t="shared" si="69"/>
        <v>24.7</v>
      </c>
      <c r="I21" s="23">
        <f t="shared" si="62"/>
        <v>20.3</v>
      </c>
      <c r="J21" s="16">
        <f t="shared" ca="1" si="37"/>
        <v>180612.64398133665</v>
      </c>
      <c r="K21" s="16">
        <f t="shared" ca="1" si="2"/>
        <v>0</v>
      </c>
      <c r="L21" s="16">
        <f t="shared" ca="1" si="9"/>
        <v>0</v>
      </c>
      <c r="M21" s="23">
        <f t="shared" ca="1" si="63"/>
        <v>0</v>
      </c>
      <c r="N21" s="23">
        <f t="shared" ca="1" si="64"/>
        <v>0</v>
      </c>
      <c r="O21" s="23">
        <f t="shared" ca="1" si="65"/>
        <v>0</v>
      </c>
      <c r="P21" s="23">
        <f t="shared" ca="1" si="66"/>
        <v>0</v>
      </c>
      <c r="Q21" s="23">
        <f t="shared" ca="1" si="67"/>
        <v>0</v>
      </c>
      <c r="R21" s="30">
        <f t="shared" ca="1" si="68"/>
        <v>0.17</v>
      </c>
      <c r="S21" s="23">
        <f t="shared" si="61"/>
        <v>0</v>
      </c>
      <c r="T21" s="23">
        <f t="shared" si="17"/>
        <v>0</v>
      </c>
      <c r="V21" s="30">
        <f t="shared" si="38"/>
        <v>1.6000000000000005E-3</v>
      </c>
      <c r="W21" s="23">
        <f t="shared" si="59"/>
        <v>154921.03146652985</v>
      </c>
      <c r="X21">
        <f t="shared" si="18"/>
        <v>0</v>
      </c>
      <c r="Y21">
        <f t="shared" si="19"/>
        <v>0</v>
      </c>
      <c r="Z21">
        <f t="shared" si="20"/>
        <v>27003.157239815642</v>
      </c>
      <c r="AA21">
        <f>IF(MAX(AY$5:AY21)&gt;1,AA20+1,0)</f>
        <v>0</v>
      </c>
      <c r="AB21">
        <f>IF(MAX(AY$5:AY21)&gt;1,1,0)</f>
        <v>0</v>
      </c>
      <c r="AC21" t="str">
        <f t="shared" ca="1" si="3"/>
        <v>DECLINE</v>
      </c>
      <c r="AD21">
        <f t="shared" ca="1" si="21"/>
        <v>0</v>
      </c>
      <c r="AE21" s="23">
        <f t="shared" si="22"/>
        <v>1</v>
      </c>
      <c r="AF21">
        <f t="shared" ca="1" si="23"/>
        <v>1</v>
      </c>
      <c r="AH21">
        <f t="shared" si="24"/>
        <v>1</v>
      </c>
      <c r="AI21">
        <f t="shared" si="39"/>
        <v>17</v>
      </c>
      <c r="AJ21" s="15">
        <f t="shared" ca="1" si="25"/>
        <v>18.083333333333332</v>
      </c>
      <c r="AK21">
        <f t="shared" si="26"/>
        <v>82</v>
      </c>
      <c r="AL21">
        <f t="shared" si="40"/>
        <v>1</v>
      </c>
      <c r="AM21" s="3" t="str">
        <f t="shared" si="41"/>
        <v/>
      </c>
      <c r="AN21">
        <f t="shared" si="27"/>
        <v>76</v>
      </c>
      <c r="AO21">
        <f t="shared" si="42"/>
        <v>1</v>
      </c>
      <c r="AP21" s="3" t="str">
        <f t="shared" si="28"/>
        <v/>
      </c>
      <c r="AQ21">
        <f t="shared" si="29"/>
        <v>35</v>
      </c>
      <c r="AR21" s="10">
        <f t="shared" si="43"/>
        <v>50041</v>
      </c>
      <c r="AS21">
        <f t="shared" si="44"/>
        <v>17</v>
      </c>
      <c r="AT21" s="30">
        <f t="shared" si="45"/>
        <v>3.3000000000000002E-2</v>
      </c>
      <c r="AU21" s="16">
        <f t="shared" ca="1" si="46"/>
        <v>5970778.0785933593</v>
      </c>
      <c r="AV21" s="1"/>
      <c r="AW21" s="1" t="str">
        <f t="shared" ca="1" si="47"/>
        <v/>
      </c>
      <c r="AX21" s="16">
        <f t="shared" si="4"/>
        <v>0</v>
      </c>
      <c r="AY21" s="16"/>
      <c r="AZ21" s="1">
        <f t="shared" si="57"/>
        <v>181924.18870634551</v>
      </c>
      <c r="BA21" s="16">
        <f t="shared" si="30"/>
        <v>0</v>
      </c>
      <c r="BB21" s="28">
        <f t="shared" si="48"/>
        <v>41791.80223283614</v>
      </c>
      <c r="BC21" s="16">
        <f t="shared" si="49"/>
        <v>18854.184166337502</v>
      </c>
      <c r="BD21" s="16">
        <f t="shared" si="50"/>
        <v>32577.918077645238</v>
      </c>
      <c r="BE21" s="16">
        <f t="shared" ca="1" si="51"/>
        <v>0</v>
      </c>
      <c r="BF21" s="16">
        <f t="shared" ca="1" si="31"/>
        <v>0</v>
      </c>
      <c r="BG21" s="16">
        <f t="shared" ca="1" si="32"/>
        <v>93223.904476818876</v>
      </c>
      <c r="BH21" s="16">
        <f t="shared" si="5"/>
        <v>0</v>
      </c>
      <c r="BI21" s="16">
        <f t="shared" ca="1" si="33"/>
        <v>-88700.284229526631</v>
      </c>
      <c r="BJ21" s="16">
        <f t="shared" si="52"/>
        <v>0</v>
      </c>
      <c r="BK21" s="16">
        <f t="shared" ca="1" si="53"/>
        <v>104202.09677023813</v>
      </c>
      <c r="BL21" s="16">
        <f t="shared" ca="1" si="6"/>
        <v>6865887.3813342797</v>
      </c>
      <c r="BM21" s="16"/>
      <c r="BN21" s="16">
        <f t="shared" ca="1" si="34"/>
        <v>4625032.930679746</v>
      </c>
      <c r="BQ21" s="16">
        <f t="shared" si="7"/>
        <v>27678.236170811033</v>
      </c>
      <c r="BS21" s="30">
        <f t="shared" ca="1" si="8"/>
        <v>1.51277022755013E-2</v>
      </c>
      <c r="BU21" s="30">
        <f t="shared" ca="1" si="35"/>
        <v>1.7654027933543981E-2</v>
      </c>
    </row>
    <row r="22" spans="1:73" x14ac:dyDescent="0.3">
      <c r="A22" s="36">
        <f t="shared" ca="1" si="0"/>
        <v>4557139.771183379</v>
      </c>
      <c r="B22" s="36">
        <f t="shared" ca="1" si="1"/>
        <v>1519046.5903944597</v>
      </c>
      <c r="C22" s="36">
        <f t="shared" ca="1" si="54"/>
        <v>811646.88612388633</v>
      </c>
      <c r="D22" s="30">
        <f t="shared" ca="1" si="55"/>
        <v>0.61642166026107181</v>
      </c>
      <c r="E22" s="23">
        <f t="shared" ca="1" si="36"/>
        <v>3.3000000000000002E-2</v>
      </c>
      <c r="F22" s="30">
        <f t="shared" si="56"/>
        <v>3.3000000000000002E-2</v>
      </c>
      <c r="G22" s="23">
        <v>19.5</v>
      </c>
      <c r="H22" s="23">
        <f t="shared" si="69"/>
        <v>23.8</v>
      </c>
      <c r="I22" s="23">
        <f t="shared" si="62"/>
        <v>19.5</v>
      </c>
      <c r="J22" s="16">
        <f t="shared" ca="1" si="37"/>
        <v>192076.55820817911</v>
      </c>
      <c r="K22" s="16">
        <f t="shared" ca="1" si="2"/>
        <v>6115.2984134392464</v>
      </c>
      <c r="L22" s="16">
        <f t="shared" ca="1" si="9"/>
        <v>1039.600730284672</v>
      </c>
      <c r="M22" s="23">
        <f t="shared" ca="1" si="63"/>
        <v>0</v>
      </c>
      <c r="N22" s="23">
        <f t="shared" ca="1" si="64"/>
        <v>0</v>
      </c>
      <c r="O22" s="23">
        <f t="shared" ca="1" si="65"/>
        <v>0</v>
      </c>
      <c r="P22" s="23">
        <f t="shared" ca="1" si="66"/>
        <v>0</v>
      </c>
      <c r="Q22" s="23">
        <f t="shared" ca="1" si="67"/>
        <v>0</v>
      </c>
      <c r="R22" s="30">
        <f t="shared" ca="1" si="68"/>
        <v>0.17</v>
      </c>
      <c r="S22" s="23">
        <f t="shared" si="61"/>
        <v>0</v>
      </c>
      <c r="T22" s="23">
        <f t="shared" si="17"/>
        <v>0</v>
      </c>
      <c r="V22" s="30">
        <f t="shared" si="38"/>
        <v>1.7000000000000006E-3</v>
      </c>
      <c r="W22" s="23">
        <f t="shared" si="59"/>
        <v>158283.02362392884</v>
      </c>
      <c r="X22">
        <f t="shared" si="18"/>
        <v>0</v>
      </c>
      <c r="Y22">
        <f t="shared" si="19"/>
        <v>0</v>
      </c>
      <c r="Z22">
        <f t="shared" si="20"/>
        <v>27678.236170811033</v>
      </c>
      <c r="AA22">
        <f>IF(MAX(AY$5:AY22)&gt;1,AA21+1,0)</f>
        <v>0</v>
      </c>
      <c r="AB22">
        <f>IF(MAX(AY$5:AY22)&gt;1,1,0)</f>
        <v>0</v>
      </c>
      <c r="AC22" t="str">
        <f t="shared" ca="1" si="3"/>
        <v>DECLINE</v>
      </c>
      <c r="AD22">
        <f t="shared" ca="1" si="21"/>
        <v>0</v>
      </c>
      <c r="AE22" s="23">
        <f t="shared" si="22"/>
        <v>1</v>
      </c>
      <c r="AF22">
        <f t="shared" ca="1" si="23"/>
        <v>1</v>
      </c>
      <c r="AH22">
        <f t="shared" si="24"/>
        <v>1</v>
      </c>
      <c r="AI22">
        <f t="shared" si="39"/>
        <v>18</v>
      </c>
      <c r="AJ22" s="15">
        <f t="shared" ca="1" si="25"/>
        <v>19.083333333333332</v>
      </c>
      <c r="AK22">
        <f t="shared" si="26"/>
        <v>83</v>
      </c>
      <c r="AL22">
        <f t="shared" si="40"/>
        <v>1</v>
      </c>
      <c r="AM22" s="3" t="str">
        <f t="shared" si="41"/>
        <v/>
      </c>
      <c r="AN22">
        <f t="shared" si="27"/>
        <v>77</v>
      </c>
      <c r="AO22">
        <f t="shared" si="42"/>
        <v>1</v>
      </c>
      <c r="AP22" s="3" t="str">
        <f t="shared" si="28"/>
        <v/>
      </c>
      <c r="AQ22">
        <f t="shared" si="29"/>
        <v>36</v>
      </c>
      <c r="AR22" s="10">
        <f t="shared" si="43"/>
        <v>50406</v>
      </c>
      <c r="AS22">
        <f t="shared" si="44"/>
        <v>18</v>
      </c>
      <c r="AT22" s="30">
        <f t="shared" si="45"/>
        <v>3.3000000000000002E-2</v>
      </c>
      <c r="AU22" s="16">
        <f t="shared" ca="1" si="46"/>
        <v>6076186.3615778387</v>
      </c>
      <c r="AV22" s="1"/>
      <c r="AW22" s="1" t="str">
        <f t="shared" ca="1" si="47"/>
        <v/>
      </c>
      <c r="AX22" s="16">
        <f t="shared" si="4"/>
        <v>0</v>
      </c>
      <c r="AY22" s="16"/>
      <c r="AZ22" s="1">
        <f t="shared" si="57"/>
        <v>185961.25979473986</v>
      </c>
      <c r="BA22" s="16">
        <f t="shared" si="30"/>
        <v>0</v>
      </c>
      <c r="BB22" s="28">
        <f t="shared" si="48"/>
        <v>42836.597288657038</v>
      </c>
      <c r="BC22" s="16">
        <f t="shared" si="49"/>
        <v>19325.538770495936</v>
      </c>
      <c r="BD22" s="16">
        <f t="shared" si="50"/>
        <v>32919.986217460508</v>
      </c>
      <c r="BE22" s="16">
        <f t="shared" ca="1" si="51"/>
        <v>0</v>
      </c>
      <c r="BF22" s="16">
        <f t="shared" ca="1" si="31"/>
        <v>-1039.600730284672</v>
      </c>
      <c r="BG22" s="16">
        <f t="shared" ca="1" si="32"/>
        <v>95082.122276613489</v>
      </c>
      <c r="BH22" s="16">
        <f t="shared" si="5"/>
        <v>0</v>
      </c>
      <c r="BI22" s="16">
        <f t="shared" ca="1" si="33"/>
        <v>-91918.738248411042</v>
      </c>
      <c r="BJ22" s="16">
        <f t="shared" si="52"/>
        <v>0</v>
      </c>
      <c r="BK22" s="16">
        <f t="shared" ca="1" si="53"/>
        <v>105408.28298447933</v>
      </c>
      <c r="BL22" s="16">
        <f t="shared" ca="1" si="6"/>
        <v>7004862.2631715434</v>
      </c>
      <c r="BM22" s="16"/>
      <c r="BN22" s="16">
        <f t="shared" ca="1" si="34"/>
        <v>4603560.8548446298</v>
      </c>
      <c r="BQ22" s="16">
        <f t="shared" si="7"/>
        <v>28370.192075081311</v>
      </c>
      <c r="BS22" s="30">
        <f t="shared" ca="1" si="8"/>
        <v>1.545432783928315E-2</v>
      </c>
      <c r="BU22" s="30">
        <f t="shared" ca="1" si="35"/>
        <v>1.7373083549407253E-2</v>
      </c>
    </row>
    <row r="23" spans="1:73" x14ac:dyDescent="0.3">
      <c r="A23" s="36">
        <f t="shared" ca="1" si="0"/>
        <v>4636311.341174474</v>
      </c>
      <c r="B23" s="36">
        <f t="shared" ca="1" si="1"/>
        <v>1545437.113724825</v>
      </c>
      <c r="C23" s="36">
        <f t="shared" ca="1" si="54"/>
        <v>811646.88612388633</v>
      </c>
      <c r="D23" s="30">
        <f t="shared" ca="1" si="55"/>
        <v>0.61870269923703836</v>
      </c>
      <c r="E23" s="23">
        <f t="shared" ca="1" si="36"/>
        <v>3.3000000000000002E-2</v>
      </c>
      <c r="F23" s="30">
        <f t="shared" si="56"/>
        <v>3.3000000000000002E-2</v>
      </c>
      <c r="G23" s="23">
        <v>18.7</v>
      </c>
      <c r="H23" s="23">
        <f t="shared" si="69"/>
        <v>22.9</v>
      </c>
      <c r="I23" s="23">
        <f t="shared" si="62"/>
        <v>18.7</v>
      </c>
      <c r="J23" s="16">
        <f t="shared" ca="1" si="37"/>
        <v>204527.51096527209</v>
      </c>
      <c r="K23" s="16">
        <f t="shared" ca="1" si="2"/>
        <v>14470.973722771829</v>
      </c>
      <c r="L23" s="16">
        <f t="shared" ca="1" si="9"/>
        <v>2460.065532871211</v>
      </c>
      <c r="M23" s="23">
        <f t="shared" ca="1" si="63"/>
        <v>0</v>
      </c>
      <c r="N23" s="23">
        <f t="shared" ca="1" si="64"/>
        <v>0</v>
      </c>
      <c r="O23" s="23">
        <f t="shared" ca="1" si="65"/>
        <v>0</v>
      </c>
      <c r="P23" s="23">
        <f t="shared" ca="1" si="66"/>
        <v>0</v>
      </c>
      <c r="Q23" s="23">
        <f t="shared" ca="1" si="67"/>
        <v>0</v>
      </c>
      <c r="R23" s="30">
        <f t="shared" ca="1" si="68"/>
        <v>0.17</v>
      </c>
      <c r="S23" s="23">
        <f t="shared" si="61"/>
        <v>0</v>
      </c>
      <c r="T23" s="23">
        <f t="shared" si="17"/>
        <v>0</v>
      </c>
      <c r="V23" s="30">
        <f t="shared" si="38"/>
        <v>1.8000000000000006E-3</v>
      </c>
      <c r="W23" s="23">
        <f t="shared" si="59"/>
        <v>161686.34516741894</v>
      </c>
      <c r="X23">
        <f t="shared" si="18"/>
        <v>0</v>
      </c>
      <c r="Y23">
        <f t="shared" si="19"/>
        <v>0</v>
      </c>
      <c r="Z23">
        <f t="shared" si="20"/>
        <v>28370.192075081311</v>
      </c>
      <c r="AA23">
        <f>IF(MAX(AY$5:AY23)&gt;1,AA22+1,0)</f>
        <v>0</v>
      </c>
      <c r="AB23">
        <f>IF(MAX(AY$5:AY23)&gt;1,1,0)</f>
        <v>0</v>
      </c>
      <c r="AC23" t="str">
        <f t="shared" ca="1" si="3"/>
        <v>DECLINE</v>
      </c>
      <c r="AD23">
        <f t="shared" ca="1" si="21"/>
        <v>0</v>
      </c>
      <c r="AE23" s="23">
        <f t="shared" si="22"/>
        <v>1</v>
      </c>
      <c r="AF23">
        <f t="shared" ca="1" si="23"/>
        <v>1</v>
      </c>
      <c r="AH23">
        <f t="shared" si="24"/>
        <v>1</v>
      </c>
      <c r="AI23">
        <f t="shared" si="39"/>
        <v>19</v>
      </c>
      <c r="AJ23" s="15">
        <f t="shared" ca="1" si="25"/>
        <v>20.083333333333332</v>
      </c>
      <c r="AK23">
        <f t="shared" si="26"/>
        <v>84</v>
      </c>
      <c r="AL23">
        <f t="shared" si="40"/>
        <v>1</v>
      </c>
      <c r="AM23" s="3" t="str">
        <f t="shared" si="41"/>
        <v/>
      </c>
      <c r="AN23">
        <f t="shared" si="27"/>
        <v>78</v>
      </c>
      <c r="AO23">
        <f t="shared" si="42"/>
        <v>1</v>
      </c>
      <c r="AP23" s="3" t="str">
        <f t="shared" si="28"/>
        <v/>
      </c>
      <c r="AQ23">
        <f t="shared" si="29"/>
        <v>37</v>
      </c>
      <c r="AR23" s="10">
        <f t="shared" si="43"/>
        <v>50771</v>
      </c>
      <c r="AS23">
        <f t="shared" si="44"/>
        <v>19</v>
      </c>
      <c r="AT23" s="30">
        <f t="shared" si="45"/>
        <v>3.3000000000000002E-2</v>
      </c>
      <c r="AU23" s="16">
        <f t="shared" ca="1" si="46"/>
        <v>6181748.454899299</v>
      </c>
      <c r="AV23" s="1"/>
      <c r="AW23" s="1" t="str">
        <f t="shared" ca="1" si="47"/>
        <v/>
      </c>
      <c r="AX23" s="16">
        <f t="shared" si="4"/>
        <v>0</v>
      </c>
      <c r="AY23" s="16"/>
      <c r="AZ23" s="1">
        <f t="shared" si="57"/>
        <v>190056.53724250026</v>
      </c>
      <c r="BA23" s="16">
        <f t="shared" si="30"/>
        <v>0</v>
      </c>
      <c r="BB23" s="28">
        <f t="shared" si="48"/>
        <v>43907.512220873461</v>
      </c>
      <c r="BC23" s="16">
        <f t="shared" si="49"/>
        <v>19808.677239758334</v>
      </c>
      <c r="BD23" s="16">
        <f t="shared" si="50"/>
        <v>33265.646072743839</v>
      </c>
      <c r="BE23" s="16">
        <f t="shared" ca="1" si="51"/>
        <v>0</v>
      </c>
      <c r="BF23" s="16">
        <f t="shared" ca="1" si="31"/>
        <v>-2460.065532871211</v>
      </c>
      <c r="BG23" s="16">
        <f t="shared" ca="1" si="32"/>
        <v>96981.835533375634</v>
      </c>
      <c r="BH23" s="16">
        <f t="shared" si="5"/>
        <v>0</v>
      </c>
      <c r="BI23" s="16">
        <f t="shared" ca="1" si="33"/>
        <v>-95534.76724199584</v>
      </c>
      <c r="BJ23" s="16">
        <f t="shared" si="52"/>
        <v>0</v>
      </c>
      <c r="BK23" s="16">
        <f t="shared" ca="1" si="53"/>
        <v>105562.0933214603</v>
      </c>
      <c r="BL23" s="16">
        <f t="shared" ca="1" si="6"/>
        <v>7145249.702802768</v>
      </c>
      <c r="BM23" s="16"/>
      <c r="BN23" s="16">
        <f t="shared" ca="1" si="34"/>
        <v>4581290.5231664656</v>
      </c>
      <c r="BQ23" s="16">
        <f t="shared" si="7"/>
        <v>29079.44687695834</v>
      </c>
      <c r="BS23" s="30">
        <f t="shared" ca="1" si="8"/>
        <v>1.5801347350064728E-2</v>
      </c>
      <c r="BU23" s="30">
        <f t="shared" ca="1" si="35"/>
        <v>1.7035679342020549E-2</v>
      </c>
    </row>
    <row r="24" spans="1:73" x14ac:dyDescent="0.3">
      <c r="A24" s="36">
        <f t="shared" ca="1" si="0"/>
        <v>4715294.0545124952</v>
      </c>
      <c r="B24" s="36">
        <f t="shared" ca="1" si="1"/>
        <v>1571764.6848374987</v>
      </c>
      <c r="C24" s="36">
        <f t="shared" ca="1" si="54"/>
        <v>811646.88612388633</v>
      </c>
      <c r="D24" s="30">
        <f t="shared" ca="1" si="55"/>
        <v>0.62090197184831752</v>
      </c>
      <c r="E24" s="23">
        <f t="shared" ca="1" si="36"/>
        <v>3.3000000000000002E-2</v>
      </c>
      <c r="F24" s="30">
        <f t="shared" si="56"/>
        <v>3.3000000000000002E-2</v>
      </c>
      <c r="G24" s="23">
        <v>17.899999999999999</v>
      </c>
      <c r="H24" s="23">
        <f t="shared" si="69"/>
        <v>22</v>
      </c>
      <c r="I24" s="23">
        <f t="shared" si="62"/>
        <v>17.899999999999999</v>
      </c>
      <c r="J24" s="16">
        <f t="shared" ca="1" si="37"/>
        <v>218080.84739601167</v>
      </c>
      <c r="K24" s="16">
        <f t="shared" ca="1" si="2"/>
        <v>23870.866134490498</v>
      </c>
      <c r="L24" s="16">
        <f t="shared" ca="1" si="9"/>
        <v>4058.0472428633848</v>
      </c>
      <c r="M24" s="23">
        <f t="shared" ca="1" si="63"/>
        <v>0</v>
      </c>
      <c r="N24" s="23">
        <f t="shared" ca="1" si="64"/>
        <v>0</v>
      </c>
      <c r="O24" s="23">
        <f t="shared" ca="1" si="65"/>
        <v>0</v>
      </c>
      <c r="P24" s="23">
        <f t="shared" ca="1" si="66"/>
        <v>0</v>
      </c>
      <c r="Q24" s="23">
        <f t="shared" ca="1" si="67"/>
        <v>0</v>
      </c>
      <c r="R24" s="30">
        <f t="shared" ca="1" si="68"/>
        <v>0.17</v>
      </c>
      <c r="S24" s="23">
        <f t="shared" si="61"/>
        <v>0</v>
      </c>
      <c r="T24" s="23">
        <f t="shared" si="17"/>
        <v>0</v>
      </c>
      <c r="V24" s="30">
        <f t="shared" si="38"/>
        <v>1.9000000000000006E-3</v>
      </c>
      <c r="W24" s="23">
        <f t="shared" si="59"/>
        <v>165130.53438456284</v>
      </c>
      <c r="X24">
        <f t="shared" si="18"/>
        <v>0</v>
      </c>
      <c r="Y24">
        <f t="shared" si="19"/>
        <v>0</v>
      </c>
      <c r="Z24">
        <f t="shared" si="20"/>
        <v>29079.44687695834</v>
      </c>
      <c r="AA24">
        <f>IF(MAX(AY$5:AY24)&gt;1,AA23+1,0)</f>
        <v>0</v>
      </c>
      <c r="AB24">
        <f>IF(MAX(AY$5:AY24)&gt;1,1,0)</f>
        <v>0</v>
      </c>
      <c r="AC24" t="str">
        <f t="shared" ca="1" si="3"/>
        <v>DECLINE</v>
      </c>
      <c r="AD24">
        <f t="shared" ca="1" si="21"/>
        <v>0</v>
      </c>
      <c r="AE24" s="23">
        <f t="shared" si="22"/>
        <v>1</v>
      </c>
      <c r="AF24">
        <f t="shared" ca="1" si="23"/>
        <v>1</v>
      </c>
      <c r="AH24">
        <f t="shared" si="24"/>
        <v>1</v>
      </c>
      <c r="AI24">
        <f t="shared" si="39"/>
        <v>20</v>
      </c>
      <c r="AJ24" s="15">
        <f t="shared" ca="1" si="25"/>
        <v>21.083333333333332</v>
      </c>
      <c r="AK24">
        <f t="shared" si="26"/>
        <v>85</v>
      </c>
      <c r="AL24">
        <f t="shared" si="40"/>
        <v>1</v>
      </c>
      <c r="AM24" s="3" t="str">
        <f t="shared" si="41"/>
        <v/>
      </c>
      <c r="AN24">
        <f t="shared" si="27"/>
        <v>79</v>
      </c>
      <c r="AO24">
        <f t="shared" si="42"/>
        <v>1</v>
      </c>
      <c r="AP24" s="3" t="str">
        <f t="shared" si="28"/>
        <v/>
      </c>
      <c r="AQ24">
        <f t="shared" si="29"/>
        <v>38</v>
      </c>
      <c r="AR24" s="10">
        <f t="shared" si="43"/>
        <v>51136</v>
      </c>
      <c r="AS24">
        <f t="shared" si="44"/>
        <v>20</v>
      </c>
      <c r="AT24" s="30">
        <f t="shared" si="45"/>
        <v>3.3000000000000002E-2</v>
      </c>
      <c r="AU24" s="16">
        <f t="shared" ca="1" si="46"/>
        <v>6287058.7393499939</v>
      </c>
      <c r="AV24" s="1"/>
      <c r="AW24" s="1" t="str">
        <f t="shared" ca="1" si="47"/>
        <v/>
      </c>
      <c r="AX24" s="16">
        <f t="shared" si="4"/>
        <v>0</v>
      </c>
      <c r="AY24" s="16"/>
      <c r="AZ24" s="1">
        <f t="shared" si="57"/>
        <v>194209.98126152117</v>
      </c>
      <c r="BA24" s="16">
        <f t="shared" si="30"/>
        <v>0</v>
      </c>
      <c r="BB24" s="28">
        <f t="shared" si="48"/>
        <v>45005.200026395294</v>
      </c>
      <c r="BC24" s="16">
        <f t="shared" si="49"/>
        <v>20303.89417075229</v>
      </c>
      <c r="BD24" s="16">
        <f t="shared" si="50"/>
        <v>33614.935356507645</v>
      </c>
      <c r="BE24" s="16">
        <f t="shared" ca="1" si="51"/>
        <v>0</v>
      </c>
      <c r="BF24" s="16">
        <f t="shared" ca="1" si="31"/>
        <v>-4058.0472428633848</v>
      </c>
      <c r="BG24" s="16">
        <f t="shared" ca="1" si="32"/>
        <v>98924.029553655229</v>
      </c>
      <c r="BH24" s="16">
        <f t="shared" si="5"/>
        <v>0</v>
      </c>
      <c r="BI24" s="16">
        <f t="shared" ca="1" si="33"/>
        <v>-99343.998950729321</v>
      </c>
      <c r="BJ24" s="16">
        <f t="shared" si="52"/>
        <v>0</v>
      </c>
      <c r="BK24" s="16">
        <f t="shared" ca="1" si="53"/>
        <v>105310.28445069492</v>
      </c>
      <c r="BL24" s="16">
        <f t="shared" ca="1" si="6"/>
        <v>7286691.2840498434</v>
      </c>
      <c r="BM24" s="16"/>
      <c r="BN24" s="16">
        <f t="shared" ca="1" si="34"/>
        <v>4558027.3592442768</v>
      </c>
      <c r="BQ24" s="16">
        <f t="shared" si="7"/>
        <v>29806.433048882296</v>
      </c>
      <c r="BS24" s="30">
        <f t="shared" ca="1" si="8"/>
        <v>1.6172025963593618E-2</v>
      </c>
      <c r="BU24" s="30">
        <f t="shared" ca="1" si="35"/>
        <v>1.6677208187382941E-2</v>
      </c>
    </row>
    <row r="25" spans="1:73" x14ac:dyDescent="0.3">
      <c r="A25" s="36">
        <f t="shared" ca="1" si="0"/>
        <v>4793931.9951243298</v>
      </c>
      <c r="B25" s="36">
        <f t="shared" ca="1" si="1"/>
        <v>1597977.3317081099</v>
      </c>
      <c r="C25" s="36">
        <f t="shared" ca="1" si="54"/>
        <v>811646.88612388633</v>
      </c>
      <c r="D25" s="30">
        <f t="shared" ca="1" si="55"/>
        <v>0.62301964958784795</v>
      </c>
      <c r="E25" s="23">
        <f t="shared" ca="1" si="36"/>
        <v>3.3000000000000002E-2</v>
      </c>
      <c r="F25" s="30">
        <f t="shared" si="56"/>
        <v>3.3000000000000002E-2</v>
      </c>
      <c r="G25" s="23">
        <v>17.100000000000001</v>
      </c>
      <c r="H25" s="23">
        <f t="shared" si="69"/>
        <v>21.2</v>
      </c>
      <c r="I25" s="23">
        <f t="shared" si="62"/>
        <v>17.100000000000001</v>
      </c>
      <c r="J25" s="16">
        <f t="shared" ca="1" si="37"/>
        <v>232882.17011698498</v>
      </c>
      <c r="K25" s="16">
        <f t="shared" ca="1" si="2"/>
        <v>34460.641923719697</v>
      </c>
      <c r="L25" s="16">
        <f t="shared" ca="1" si="9"/>
        <v>5858.3091270323494</v>
      </c>
      <c r="M25" s="23">
        <f t="shared" ca="1" si="63"/>
        <v>0</v>
      </c>
      <c r="N25" s="23">
        <f t="shared" ca="1" si="64"/>
        <v>0</v>
      </c>
      <c r="O25" s="23">
        <f t="shared" ca="1" si="65"/>
        <v>0</v>
      </c>
      <c r="P25" s="23">
        <f t="shared" ca="1" si="66"/>
        <v>0</v>
      </c>
      <c r="Q25" s="23">
        <f t="shared" ca="1" si="67"/>
        <v>0</v>
      </c>
      <c r="R25" s="30">
        <f t="shared" ca="1" si="68"/>
        <v>0.17</v>
      </c>
      <c r="S25" s="23">
        <f t="shared" si="61"/>
        <v>0</v>
      </c>
      <c r="T25" s="23">
        <f t="shared" si="17"/>
        <v>0</v>
      </c>
      <c r="V25" s="30">
        <f t="shared" si="38"/>
        <v>2.0000000000000005E-3</v>
      </c>
      <c r="W25" s="23">
        <f t="shared" si="59"/>
        <v>168615.095144383</v>
      </c>
      <c r="X25">
        <f t="shared" si="18"/>
        <v>0</v>
      </c>
      <c r="Y25">
        <f t="shared" si="19"/>
        <v>0</v>
      </c>
      <c r="Z25">
        <f t="shared" si="20"/>
        <v>29806.433048882296</v>
      </c>
      <c r="AA25">
        <f>IF(MAX(AY$5:AY25)&gt;1,AA24+1,0)</f>
        <v>0</v>
      </c>
      <c r="AB25">
        <f>IF(MAX(AY$5:AY25)&gt;1,1,0)</f>
        <v>0</v>
      </c>
      <c r="AC25" t="str">
        <f t="shared" ca="1" si="3"/>
        <v>DECLINE</v>
      </c>
      <c r="AD25">
        <f t="shared" ca="1" si="21"/>
        <v>0</v>
      </c>
      <c r="AE25" s="23">
        <f t="shared" si="22"/>
        <v>1</v>
      </c>
      <c r="AF25">
        <f t="shared" ca="1" si="23"/>
        <v>1</v>
      </c>
      <c r="AH25">
        <f t="shared" si="24"/>
        <v>1</v>
      </c>
      <c r="AI25">
        <f t="shared" si="39"/>
        <v>21</v>
      </c>
      <c r="AJ25" s="15">
        <f t="shared" ca="1" si="25"/>
        <v>22.083333333333332</v>
      </c>
      <c r="AK25">
        <f t="shared" si="26"/>
        <v>86</v>
      </c>
      <c r="AL25">
        <f t="shared" si="40"/>
        <v>1</v>
      </c>
      <c r="AM25" s="3" t="str">
        <f t="shared" si="41"/>
        <v/>
      </c>
      <c r="AN25">
        <f t="shared" si="27"/>
        <v>80</v>
      </c>
      <c r="AO25">
        <f t="shared" si="42"/>
        <v>1</v>
      </c>
      <c r="AP25" s="3" t="str">
        <f t="shared" si="28"/>
        <v/>
      </c>
      <c r="AQ25">
        <f t="shared" si="29"/>
        <v>39</v>
      </c>
      <c r="AR25" s="10">
        <f t="shared" si="43"/>
        <v>51502</v>
      </c>
      <c r="AS25">
        <f t="shared" si="44"/>
        <v>21</v>
      </c>
      <c r="AT25" s="30">
        <f t="shared" si="45"/>
        <v>3.3000000000000002E-2</v>
      </c>
      <c r="AU25" s="16">
        <f t="shared" ca="1" si="46"/>
        <v>6391909.3268324398</v>
      </c>
      <c r="AV25" s="1"/>
      <c r="AW25" s="1" t="str">
        <f t="shared" ca="1" si="47"/>
        <v/>
      </c>
      <c r="AX25" s="16">
        <f t="shared" si="4"/>
        <v>0</v>
      </c>
      <c r="AY25" s="16"/>
      <c r="AZ25" s="1">
        <f t="shared" si="57"/>
        <v>198421.52819326529</v>
      </c>
      <c r="BA25" s="16">
        <f t="shared" si="30"/>
        <v>0</v>
      </c>
      <c r="BB25" s="28">
        <f t="shared" si="48"/>
        <v>46130.33002705517</v>
      </c>
      <c r="BC25" s="16">
        <f t="shared" si="49"/>
        <v>20811.491525021094</v>
      </c>
      <c r="BD25" s="16">
        <f t="shared" si="50"/>
        <v>33967.892177750975</v>
      </c>
      <c r="BE25" s="16">
        <f t="shared" ca="1" si="51"/>
        <v>0</v>
      </c>
      <c r="BF25" s="16">
        <f t="shared" ca="1" si="31"/>
        <v>-5858.3091270323494</v>
      </c>
      <c r="BG25" s="16">
        <f t="shared" ca="1" si="32"/>
        <v>100909.71372982723</v>
      </c>
      <c r="BH25" s="16">
        <f t="shared" si="5"/>
        <v>0</v>
      </c>
      <c r="BI25" s="16">
        <f t="shared" ca="1" si="33"/>
        <v>-103370.12359047041</v>
      </c>
      <c r="BJ25" s="16">
        <f t="shared" si="52"/>
        <v>0</v>
      </c>
      <c r="BK25" s="16">
        <f t="shared" ca="1" si="53"/>
        <v>104850.58748244587</v>
      </c>
      <c r="BL25" s="16">
        <f t="shared" ca="1" si="6"/>
        <v>7429028.091958534</v>
      </c>
      <c r="BM25" s="16"/>
      <c r="BN25" s="16">
        <f t="shared" ca="1" si="34"/>
        <v>4533719.9782042718</v>
      </c>
      <c r="BQ25" s="16">
        <f t="shared" si="7"/>
        <v>30551.59387510435</v>
      </c>
      <c r="BS25" s="30">
        <f t="shared" ca="1" si="8"/>
        <v>1.6570257138093358E-2</v>
      </c>
      <c r="BU25" s="30">
        <f t="shared" ca="1" si="35"/>
        <v>1.629429717960762E-2</v>
      </c>
    </row>
    <row r="26" spans="1:73" x14ac:dyDescent="0.3">
      <c r="A26" s="36">
        <f t="shared" ca="1" si="0"/>
        <v>4872045.7477117153</v>
      </c>
      <c r="B26" s="36">
        <f t="shared" ca="1" si="1"/>
        <v>1624015.2492372384</v>
      </c>
      <c r="C26" s="36">
        <f t="shared" ca="1" si="54"/>
        <v>811646.88612388633</v>
      </c>
      <c r="D26" s="30">
        <f t="shared" ca="1" si="55"/>
        <v>0.62505553188230567</v>
      </c>
      <c r="E26" s="23">
        <f t="shared" ca="1" si="36"/>
        <v>3.3000000000000002E-2</v>
      </c>
      <c r="F26" s="30">
        <f t="shared" si="56"/>
        <v>3.3000000000000002E-2</v>
      </c>
      <c r="G26" s="23">
        <v>16.3</v>
      </c>
      <c r="H26" s="23">
        <f t="shared" si="69"/>
        <v>20.3</v>
      </c>
      <c r="I26" s="23">
        <f t="shared" si="62"/>
        <v>16.3</v>
      </c>
      <c r="J26" s="16">
        <f t="shared" ca="1" si="37"/>
        <v>249104.22463729011</v>
      </c>
      <c r="K26" s="16">
        <f t="shared" ca="1" si="2"/>
        <v>46413.134212784731</v>
      </c>
      <c r="L26" s="16">
        <f t="shared" ca="1" si="9"/>
        <v>7890.2328161734049</v>
      </c>
      <c r="M26" s="23">
        <f t="shared" ca="1" si="63"/>
        <v>0</v>
      </c>
      <c r="N26" s="23">
        <f t="shared" ca="1" si="64"/>
        <v>0</v>
      </c>
      <c r="O26" s="23">
        <f t="shared" ca="1" si="65"/>
        <v>0</v>
      </c>
      <c r="P26" s="23">
        <f t="shared" ca="1" si="66"/>
        <v>0</v>
      </c>
      <c r="Q26" s="23">
        <f t="shared" ca="1" si="67"/>
        <v>0</v>
      </c>
      <c r="R26" s="30">
        <f t="shared" ca="1" si="68"/>
        <v>0.17</v>
      </c>
      <c r="S26" s="23">
        <f t="shared" si="61"/>
        <v>0</v>
      </c>
      <c r="T26" s="23">
        <f t="shared" si="17"/>
        <v>0</v>
      </c>
      <c r="V26" s="30">
        <f t="shared" si="38"/>
        <v>2.1000000000000003E-3</v>
      </c>
      <c r="W26" s="23">
        <f t="shared" si="59"/>
        <v>172139.49654940102</v>
      </c>
      <c r="X26">
        <f t="shared" si="18"/>
        <v>0</v>
      </c>
      <c r="Y26">
        <f t="shared" si="19"/>
        <v>0</v>
      </c>
      <c r="Z26">
        <f t="shared" si="20"/>
        <v>30551.59387510435</v>
      </c>
      <c r="AA26">
        <f>IF(MAX(AY$5:AY26)&gt;1,AA25+1,0)</f>
        <v>0</v>
      </c>
      <c r="AB26">
        <f>IF(MAX(AY$5:AY26)&gt;1,1,0)</f>
        <v>0</v>
      </c>
      <c r="AC26" t="str">
        <f t="shared" ca="1" si="3"/>
        <v>DECLINE</v>
      </c>
      <c r="AD26">
        <f t="shared" ca="1" si="21"/>
        <v>0</v>
      </c>
      <c r="AE26" s="23">
        <f t="shared" si="22"/>
        <v>1</v>
      </c>
      <c r="AF26">
        <f t="shared" ca="1" si="23"/>
        <v>1</v>
      </c>
      <c r="AH26">
        <f t="shared" si="24"/>
        <v>1</v>
      </c>
      <c r="AI26">
        <f t="shared" si="39"/>
        <v>22</v>
      </c>
      <c r="AJ26" s="15">
        <f t="shared" ca="1" si="25"/>
        <v>23.083333333333332</v>
      </c>
      <c r="AK26">
        <f t="shared" si="26"/>
        <v>87</v>
      </c>
      <c r="AL26">
        <f t="shared" si="40"/>
        <v>1</v>
      </c>
      <c r="AM26" s="3" t="str">
        <f t="shared" si="41"/>
        <v/>
      </c>
      <c r="AN26">
        <f t="shared" si="27"/>
        <v>81</v>
      </c>
      <c r="AO26">
        <f t="shared" si="42"/>
        <v>1</v>
      </c>
      <c r="AP26" s="3" t="str">
        <f t="shared" si="28"/>
        <v/>
      </c>
      <c r="AQ26">
        <f t="shared" si="29"/>
        <v>40</v>
      </c>
      <c r="AR26" s="10">
        <f t="shared" si="43"/>
        <v>51867</v>
      </c>
      <c r="AS26">
        <f t="shared" si="44"/>
        <v>22</v>
      </c>
      <c r="AT26" s="30">
        <f t="shared" si="45"/>
        <v>3.3000000000000002E-2</v>
      </c>
      <c r="AU26" s="16">
        <f t="shared" ca="1" si="46"/>
        <v>6496060.9969489537</v>
      </c>
      <c r="AV26" s="1"/>
      <c r="AW26" s="1" t="str">
        <f t="shared" ca="1" si="47"/>
        <v/>
      </c>
      <c r="AX26" s="16">
        <f t="shared" si="4"/>
        <v>0</v>
      </c>
      <c r="AY26" s="16"/>
      <c r="AZ26" s="1">
        <f t="shared" si="57"/>
        <v>202691.09042450538</v>
      </c>
      <c r="BA26" s="16">
        <f t="shared" si="30"/>
        <v>0</v>
      </c>
      <c r="BB26" s="28">
        <f t="shared" si="48"/>
        <v>47283.588277731542</v>
      </c>
      <c r="BC26" s="16">
        <f t="shared" si="49"/>
        <v>21331.778813146619</v>
      </c>
      <c r="BD26" s="16">
        <f t="shared" si="50"/>
        <v>34324.555045617359</v>
      </c>
      <c r="BE26" s="16">
        <f t="shared" ca="1" si="51"/>
        <v>0</v>
      </c>
      <c r="BF26" s="16">
        <f t="shared" ca="1" si="31"/>
        <v>-7890.2328161734049</v>
      </c>
      <c r="BG26" s="16">
        <f t="shared" ca="1" si="32"/>
        <v>102939.92213649553</v>
      </c>
      <c r="BH26" s="16">
        <f t="shared" si="5"/>
        <v>0</v>
      </c>
      <c r="BI26" s="16">
        <f t="shared" ca="1" si="33"/>
        <v>-107641.40110418326</v>
      </c>
      <c r="BJ26" s="16">
        <f t="shared" si="52"/>
        <v>0</v>
      </c>
      <c r="BK26" s="16">
        <f t="shared" ca="1" si="53"/>
        <v>104151.67011651397</v>
      </c>
      <c r="BL26" s="16">
        <f t="shared" ca="1" si="6"/>
        <v>7572071.7157672755</v>
      </c>
      <c r="BM26" s="16"/>
      <c r="BN26" s="16">
        <f t="shared" ca="1" si="34"/>
        <v>4508307.6540253432</v>
      </c>
      <c r="BQ26" s="16">
        <f t="shared" si="7"/>
        <v>31315.383721981958</v>
      </c>
      <c r="BS26" s="30">
        <f t="shared" ca="1" si="8"/>
        <v>1.9028640915446027E-2</v>
      </c>
      <c r="BU26" s="30">
        <f t="shared" ca="1" si="35"/>
        <v>1.5882924376349639E-2</v>
      </c>
    </row>
    <row r="27" spans="1:73" x14ac:dyDescent="0.3">
      <c r="A27" s="36">
        <f t="shared" ca="1" si="0"/>
        <v>4949428.0818807362</v>
      </c>
      <c r="B27" s="36">
        <f t="shared" ca="1" si="1"/>
        <v>1649809.3606269117</v>
      </c>
      <c r="C27" s="36">
        <f t="shared" ca="1" si="54"/>
        <v>811646.88612388633</v>
      </c>
      <c r="D27" s="30">
        <f t="shared" ca="1" si="55"/>
        <v>0.62700898881197586</v>
      </c>
      <c r="E27" s="23">
        <f t="shared" ca="1" si="36"/>
        <v>3.3000000000000002E-2</v>
      </c>
      <c r="F27" s="30">
        <f t="shared" si="56"/>
        <v>3.3000000000000002E-2</v>
      </c>
      <c r="G27" s="23">
        <v>15.5</v>
      </c>
      <c r="H27" s="23">
        <f t="shared" si="69"/>
        <v>19.5</v>
      </c>
      <c r="I27" s="23">
        <f t="shared" si="62"/>
        <v>19.5</v>
      </c>
      <c r="J27" s="16">
        <f t="shared" ca="1" si="37"/>
        <v>212193.90747471026</v>
      </c>
      <c r="K27" s="16">
        <f t="shared" ca="1" si="2"/>
        <v>36228.134588426765</v>
      </c>
      <c r="L27" s="16">
        <f t="shared" ca="1" si="9"/>
        <v>6158.7828800325506</v>
      </c>
      <c r="M27" s="23">
        <f t="shared" ca="1" si="63"/>
        <v>0</v>
      </c>
      <c r="N27" s="23">
        <f t="shared" ca="1" si="64"/>
        <v>0</v>
      </c>
      <c r="O27" s="23">
        <f t="shared" ca="1" si="65"/>
        <v>0</v>
      </c>
      <c r="P27" s="23">
        <f t="shared" ca="1" si="66"/>
        <v>0</v>
      </c>
      <c r="Q27" s="23">
        <f t="shared" ca="1" si="67"/>
        <v>0</v>
      </c>
      <c r="R27" s="30">
        <f t="shared" ca="1" si="68"/>
        <v>0.17</v>
      </c>
      <c r="S27" s="23">
        <f t="shared" si="61"/>
        <v>0</v>
      </c>
      <c r="T27" s="23">
        <f t="shared" si="17"/>
        <v>0</v>
      </c>
      <c r="V27" s="30">
        <f t="shared" si="38"/>
        <v>2.2000000000000001E-3</v>
      </c>
      <c r="W27" s="23">
        <f t="shared" si="59"/>
        <v>175703.17261482216</v>
      </c>
      <c r="X27">
        <f t="shared" si="18"/>
        <v>0</v>
      </c>
      <c r="Y27">
        <f t="shared" si="19"/>
        <v>0</v>
      </c>
      <c r="Z27">
        <f t="shared" si="20"/>
        <v>31315.383721981958</v>
      </c>
      <c r="AA27">
        <f>IF(MAX(AY$5:AY27)&gt;1,AA26+1,0)</f>
        <v>0</v>
      </c>
      <c r="AB27">
        <f>IF(MAX(AY$5:AY27)&gt;1,1,0)</f>
        <v>0</v>
      </c>
      <c r="AC27" t="str">
        <f t="shared" ca="1" si="3"/>
        <v>DECLINE</v>
      </c>
      <c r="AD27">
        <f t="shared" ca="1" si="21"/>
        <v>0</v>
      </c>
      <c r="AE27" s="23">
        <f t="shared" si="22"/>
        <v>0.85</v>
      </c>
      <c r="AF27">
        <f t="shared" ca="1" si="23"/>
        <v>1</v>
      </c>
      <c r="AH27">
        <f t="shared" si="24"/>
        <v>1</v>
      </c>
      <c r="AI27">
        <f t="shared" si="39"/>
        <v>23</v>
      </c>
      <c r="AJ27" s="15">
        <f t="shared" ca="1" si="25"/>
        <v>24.083333333333332</v>
      </c>
      <c r="AK27">
        <f t="shared" si="26"/>
        <v>88</v>
      </c>
      <c r="AL27">
        <f t="shared" si="40"/>
        <v>0</v>
      </c>
      <c r="AM27" s="3" t="str">
        <f t="shared" si="41"/>
        <v>D</v>
      </c>
      <c r="AN27">
        <f t="shared" si="27"/>
        <v>82</v>
      </c>
      <c r="AO27">
        <f t="shared" si="42"/>
        <v>1</v>
      </c>
      <c r="AP27" s="3" t="str">
        <f t="shared" si="28"/>
        <v/>
      </c>
      <c r="AQ27">
        <f t="shared" si="29"/>
        <v>41</v>
      </c>
      <c r="AR27" s="10">
        <f t="shared" si="43"/>
        <v>52232</v>
      </c>
      <c r="AS27">
        <f t="shared" si="44"/>
        <v>23</v>
      </c>
      <c r="AT27" s="30">
        <f t="shared" si="45"/>
        <v>3.3000000000000002E-2</v>
      </c>
      <c r="AU27" s="16">
        <f t="shared" ca="1" si="46"/>
        <v>6599237.4425076479</v>
      </c>
      <c r="AV27" s="1"/>
      <c r="AW27" s="1" t="str">
        <f t="shared" ca="1" si="47"/>
        <v/>
      </c>
      <c r="AX27" s="16">
        <f t="shared" si="4"/>
        <v>0</v>
      </c>
      <c r="AY27" s="16"/>
      <c r="AZ27" s="1">
        <f t="shared" si="57"/>
        <v>175965.77288628349</v>
      </c>
      <c r="BA27" s="16">
        <f t="shared" si="30"/>
        <v>0</v>
      </c>
      <c r="BB27" s="28">
        <f t="shared" si="48"/>
        <v>0</v>
      </c>
      <c r="BC27" s="16">
        <f t="shared" si="49"/>
        <v>21865.073283475282</v>
      </c>
      <c r="BD27" s="16">
        <f t="shared" si="50"/>
        <v>34684.962873596342</v>
      </c>
      <c r="BE27" s="16">
        <f t="shared" ca="1" si="51"/>
        <v>0</v>
      </c>
      <c r="BF27" s="16">
        <f t="shared" ca="1" si="31"/>
        <v>-6158.7828800325506</v>
      </c>
      <c r="BG27" s="16">
        <f t="shared" ca="1" si="32"/>
        <v>56550.03615707162</v>
      </c>
      <c r="BH27" s="16">
        <f t="shared" si="5"/>
        <v>0</v>
      </c>
      <c r="BI27" s="16">
        <f t="shared" ca="1" si="33"/>
        <v>-125574.51960924442</v>
      </c>
      <c r="BJ27" s="16">
        <f t="shared" si="52"/>
        <v>0</v>
      </c>
      <c r="BK27" s="16">
        <f t="shared" ca="1" si="53"/>
        <v>103176.44555869419</v>
      </c>
      <c r="BL27" s="16">
        <f t="shared" ca="1" si="6"/>
        <v>7715598.5632816572</v>
      </c>
      <c r="BM27" s="16"/>
      <c r="BN27" s="16">
        <f t="shared" ca="1" si="34"/>
        <v>4481718.605529218</v>
      </c>
      <c r="BQ27" s="16">
        <f t="shared" si="7"/>
        <v>32098.26831503151</v>
      </c>
      <c r="BS27" s="30">
        <f t="shared" ca="1" si="8"/>
        <v>1.9425061884275882E-2</v>
      </c>
      <c r="BU27" s="30">
        <f t="shared" ca="1" si="35"/>
        <v>1.3343413934344239E-2</v>
      </c>
    </row>
    <row r="28" spans="1:73" x14ac:dyDescent="0.3">
      <c r="A28" s="36">
        <f t="shared" ca="1" si="0"/>
        <v>5015470.3495155377</v>
      </c>
      <c r="B28" s="36">
        <f t="shared" ca="1" si="1"/>
        <v>1671823.4498385126</v>
      </c>
      <c r="C28" s="36">
        <f t="shared" ca="1" si="54"/>
        <v>811646.88612388633</v>
      </c>
      <c r="D28" s="30">
        <f t="shared" ca="1" si="55"/>
        <v>0.62862849898978768</v>
      </c>
      <c r="E28" s="23">
        <f t="shared" ca="1" si="36"/>
        <v>3.3000000000000002E-2</v>
      </c>
      <c r="F28" s="30">
        <f t="shared" si="56"/>
        <v>3.3000000000000002E-2</v>
      </c>
      <c r="G28" s="23">
        <v>14.8</v>
      </c>
      <c r="H28" s="23">
        <f t="shared" si="69"/>
        <v>18.7</v>
      </c>
      <c r="I28" s="23">
        <f t="shared" si="62"/>
        <v>18.7</v>
      </c>
      <c r="J28" s="16">
        <f t="shared" ca="1" si="37"/>
        <v>224803.39376425944</v>
      </c>
      <c r="K28" s="16">
        <f t="shared" ca="1" si="2"/>
        <v>45110.172017037781</v>
      </c>
      <c r="L28" s="16">
        <f t="shared" ca="1" si="9"/>
        <v>7668.7292428964238</v>
      </c>
      <c r="M28" s="23">
        <f t="shared" ca="1" si="63"/>
        <v>0</v>
      </c>
      <c r="N28" s="23">
        <f t="shared" ca="1" si="64"/>
        <v>0</v>
      </c>
      <c r="O28" s="23">
        <f t="shared" ca="1" si="65"/>
        <v>0</v>
      </c>
      <c r="P28" s="23">
        <f t="shared" ca="1" si="66"/>
        <v>0</v>
      </c>
      <c r="Q28" s="23">
        <f t="shared" ca="1" si="67"/>
        <v>0</v>
      </c>
      <c r="R28" s="30">
        <f t="shared" ca="1" si="68"/>
        <v>0.17</v>
      </c>
      <c r="S28" s="23">
        <f t="shared" si="61"/>
        <v>0</v>
      </c>
      <c r="T28" s="23">
        <f t="shared" si="17"/>
        <v>0</v>
      </c>
      <c r="V28" s="30">
        <f t="shared" si="38"/>
        <v>2.3E-3</v>
      </c>
      <c r="W28" s="23">
        <f t="shared" si="59"/>
        <v>179305.52197581751</v>
      </c>
      <c r="X28">
        <f t="shared" si="18"/>
        <v>0</v>
      </c>
      <c r="Y28">
        <f t="shared" si="19"/>
        <v>0</v>
      </c>
      <c r="Z28">
        <f t="shared" si="20"/>
        <v>32098.26831503151</v>
      </c>
      <c r="AA28">
        <f>IF(MAX(AY$5:AY28)&gt;1,AA27+1,0)</f>
        <v>0</v>
      </c>
      <c r="AB28">
        <f>IF(MAX(AY$5:AY28)&gt;1,1,0)</f>
        <v>0</v>
      </c>
      <c r="AC28" t="str">
        <f t="shared" ca="1" si="3"/>
        <v>DECLINE</v>
      </c>
      <c r="AD28">
        <f t="shared" ca="1" si="21"/>
        <v>0</v>
      </c>
      <c r="AE28" s="23">
        <f t="shared" si="22"/>
        <v>0.85</v>
      </c>
      <c r="AF28">
        <f t="shared" ca="1" si="23"/>
        <v>1</v>
      </c>
      <c r="AH28">
        <f t="shared" si="24"/>
        <v>1</v>
      </c>
      <c r="AI28">
        <f t="shared" si="39"/>
        <v>24</v>
      </c>
      <c r="AJ28" s="15">
        <f t="shared" ca="1" si="25"/>
        <v>25.083333333333332</v>
      </c>
      <c r="AK28">
        <f t="shared" si="26"/>
        <v>89</v>
      </c>
      <c r="AL28">
        <f t="shared" si="40"/>
        <v>0</v>
      </c>
      <c r="AM28" s="3" t="str">
        <f t="shared" si="41"/>
        <v>D</v>
      </c>
      <c r="AN28">
        <f t="shared" si="27"/>
        <v>83</v>
      </c>
      <c r="AO28">
        <f t="shared" si="42"/>
        <v>1</v>
      </c>
      <c r="AP28" s="3" t="str">
        <f t="shared" si="28"/>
        <v/>
      </c>
      <c r="AQ28">
        <f t="shared" si="29"/>
        <v>42</v>
      </c>
      <c r="AR28" s="10">
        <f t="shared" si="43"/>
        <v>52597</v>
      </c>
      <c r="AS28">
        <f t="shared" si="44"/>
        <v>24</v>
      </c>
      <c r="AT28" s="30">
        <f t="shared" si="45"/>
        <v>3.3000000000000002E-2</v>
      </c>
      <c r="AU28" s="16">
        <f t="shared" ca="1" si="46"/>
        <v>6687293.7993540503</v>
      </c>
      <c r="AV28" s="1"/>
      <c r="AW28" s="1" t="str">
        <f t="shared" ca="1" si="47"/>
        <v/>
      </c>
      <c r="AX28" s="16">
        <f t="shared" si="4"/>
        <v>0</v>
      </c>
      <c r="AY28" s="16"/>
      <c r="AZ28" s="1">
        <f t="shared" si="57"/>
        <v>179693.22174722166</v>
      </c>
      <c r="BA28" s="16">
        <f t="shared" si="30"/>
        <v>0</v>
      </c>
      <c r="BB28" s="28">
        <f t="shared" si="48"/>
        <v>0</v>
      </c>
      <c r="BC28" s="16">
        <f t="shared" si="49"/>
        <v>22411.700115562162</v>
      </c>
      <c r="BD28" s="16">
        <f t="shared" si="50"/>
        <v>35049.154983769098</v>
      </c>
      <c r="BE28" s="16">
        <f t="shared" ca="1" si="51"/>
        <v>0</v>
      </c>
      <c r="BF28" s="16">
        <f t="shared" ca="1" si="31"/>
        <v>-7668.7292428964238</v>
      </c>
      <c r="BG28" s="16">
        <f t="shared" ca="1" si="32"/>
        <v>57460.85509933126</v>
      </c>
      <c r="BH28" s="16">
        <f t="shared" si="5"/>
        <v>0</v>
      </c>
      <c r="BI28" s="16">
        <f t="shared" ca="1" si="33"/>
        <v>-129901.09589078682</v>
      </c>
      <c r="BJ28" s="16">
        <f t="shared" si="52"/>
        <v>0</v>
      </c>
      <c r="BK28" s="16">
        <f t="shared" ca="1" si="53"/>
        <v>88056.356846402399</v>
      </c>
      <c r="BL28" s="16">
        <f t="shared" ca="1" si="6"/>
        <v>7845518.4621570855</v>
      </c>
      <c r="BM28" s="16"/>
      <c r="BN28" s="16">
        <f t="shared" ca="1" si="34"/>
        <v>4446033.6434974223</v>
      </c>
      <c r="BQ28" s="16">
        <f t="shared" si="7"/>
        <v>32900.725022907296</v>
      </c>
      <c r="BS28" s="30">
        <f t="shared" ca="1" si="8"/>
        <v>1.984581196999706E-2</v>
      </c>
      <c r="BU28" s="30">
        <f t="shared" ca="1" si="35"/>
        <v>1.2933911073542914E-2</v>
      </c>
    </row>
    <row r="29" spans="1:73" x14ac:dyDescent="0.3">
      <c r="A29" s="36">
        <f t="shared" ca="1" si="0"/>
        <v>5080339.9970081635</v>
      </c>
      <c r="B29" s="36">
        <f t="shared" ca="1" si="1"/>
        <v>1693446.6656693872</v>
      </c>
      <c r="C29" s="36">
        <f t="shared" ca="1" si="54"/>
        <v>811646.88612388633</v>
      </c>
      <c r="D29" s="30">
        <f t="shared" ca="1" si="55"/>
        <v>0.63017826268489874</v>
      </c>
      <c r="E29" s="23">
        <f t="shared" ca="1" si="36"/>
        <v>3.3000000000000002E-2</v>
      </c>
      <c r="F29" s="30">
        <f t="shared" si="56"/>
        <v>3.3000000000000002E-2</v>
      </c>
      <c r="G29" s="23">
        <v>14.1</v>
      </c>
      <c r="H29" s="23">
        <f t="shared" si="69"/>
        <v>17.899999999999999</v>
      </c>
      <c r="I29" s="23">
        <f t="shared" si="62"/>
        <v>17.899999999999999</v>
      </c>
      <c r="J29" s="16">
        <f t="shared" ca="1" si="37"/>
        <v>238474.47546839539</v>
      </c>
      <c r="K29" s="16">
        <f t="shared" ca="1" si="2"/>
        <v>55004.837718642113</v>
      </c>
      <c r="L29" s="16">
        <f t="shared" ca="1" si="9"/>
        <v>9350.8224121691601</v>
      </c>
      <c r="M29" s="23">
        <f t="shared" ca="1" si="63"/>
        <v>0</v>
      </c>
      <c r="N29" s="23">
        <f t="shared" ca="1" si="64"/>
        <v>0</v>
      </c>
      <c r="O29" s="23">
        <f t="shared" ca="1" si="65"/>
        <v>0</v>
      </c>
      <c r="P29" s="23">
        <f t="shared" ca="1" si="66"/>
        <v>0</v>
      </c>
      <c r="Q29" s="23">
        <f t="shared" ca="1" si="67"/>
        <v>0</v>
      </c>
      <c r="R29" s="30">
        <f t="shared" ca="1" si="68"/>
        <v>0.17</v>
      </c>
      <c r="S29" s="23">
        <f t="shared" si="61"/>
        <v>0</v>
      </c>
      <c r="T29" s="23">
        <f t="shared" si="17"/>
        <v>0</v>
      </c>
      <c r="V29" s="30">
        <f t="shared" si="38"/>
        <v>2.3999999999999998E-3</v>
      </c>
      <c r="W29" s="23">
        <f t="shared" si="59"/>
        <v>182945.90762386131</v>
      </c>
      <c r="X29">
        <f t="shared" si="18"/>
        <v>0</v>
      </c>
      <c r="Y29">
        <f t="shared" si="19"/>
        <v>0</v>
      </c>
      <c r="Z29">
        <f t="shared" si="20"/>
        <v>32900.725022907296</v>
      </c>
      <c r="AA29">
        <f>IF(MAX(AY$5:AY29)&gt;1,AA28+1,0)</f>
        <v>0</v>
      </c>
      <c r="AB29">
        <f>IF(MAX(AY$5:AY29)&gt;1,1,0)</f>
        <v>0</v>
      </c>
      <c r="AC29" t="str">
        <f t="shared" ca="1" si="3"/>
        <v>DECLINE</v>
      </c>
      <c r="AD29">
        <f t="shared" ca="1" si="21"/>
        <v>0</v>
      </c>
      <c r="AE29" s="23">
        <f t="shared" si="22"/>
        <v>0.85</v>
      </c>
      <c r="AF29">
        <f t="shared" ca="1" si="23"/>
        <v>1</v>
      </c>
      <c r="AH29">
        <f t="shared" si="24"/>
        <v>1</v>
      </c>
      <c r="AI29">
        <f t="shared" si="39"/>
        <v>25</v>
      </c>
      <c r="AJ29" s="15">
        <f t="shared" ca="1" si="25"/>
        <v>26.083333333333332</v>
      </c>
      <c r="AK29">
        <f t="shared" si="26"/>
        <v>90</v>
      </c>
      <c r="AL29">
        <f t="shared" si="40"/>
        <v>0</v>
      </c>
      <c r="AM29" s="3" t="str">
        <f t="shared" si="41"/>
        <v>D</v>
      </c>
      <c r="AN29">
        <f t="shared" si="27"/>
        <v>84</v>
      </c>
      <c r="AO29">
        <f t="shared" si="42"/>
        <v>1</v>
      </c>
      <c r="AP29" s="3" t="str">
        <f t="shared" si="28"/>
        <v/>
      </c>
      <c r="AQ29">
        <f t="shared" si="29"/>
        <v>43</v>
      </c>
      <c r="AR29" s="10">
        <f t="shared" si="43"/>
        <v>52963</v>
      </c>
      <c r="AS29">
        <f t="shared" si="44"/>
        <v>25</v>
      </c>
      <c r="AT29" s="30">
        <f t="shared" si="45"/>
        <v>3.3000000000000002E-2</v>
      </c>
      <c r="AU29" s="16">
        <f t="shared" ca="1" si="46"/>
        <v>6773786.6626775507</v>
      </c>
      <c r="AV29" s="1"/>
      <c r="AW29" s="1" t="str">
        <f t="shared" ca="1" si="47"/>
        <v/>
      </c>
      <c r="AX29" s="16">
        <f t="shared" si="4"/>
        <v>0</v>
      </c>
      <c r="AY29" s="16"/>
      <c r="AZ29" s="1">
        <f t="shared" si="57"/>
        <v>183469.63774975328</v>
      </c>
      <c r="BA29" s="16">
        <f t="shared" si="30"/>
        <v>0</v>
      </c>
      <c r="BB29" s="28">
        <f t="shared" si="48"/>
        <v>0</v>
      </c>
      <c r="BC29" s="16">
        <f t="shared" si="49"/>
        <v>22971.992618451215</v>
      </c>
      <c r="BD29" s="16">
        <f t="shared" si="50"/>
        <v>35417.171111098673</v>
      </c>
      <c r="BE29" s="16">
        <f t="shared" ca="1" si="51"/>
        <v>0</v>
      </c>
      <c r="BF29" s="16">
        <f t="shared" ca="1" si="31"/>
        <v>-9350.8224121691601</v>
      </c>
      <c r="BG29" s="16">
        <f t="shared" ca="1" si="32"/>
        <v>58389.163729549888</v>
      </c>
      <c r="BH29" s="16">
        <f t="shared" si="5"/>
        <v>0</v>
      </c>
      <c r="BI29" s="16">
        <f t="shared" ca="1" si="33"/>
        <v>-134431.29643237256</v>
      </c>
      <c r="BJ29" s="16">
        <f t="shared" si="52"/>
        <v>0</v>
      </c>
      <c r="BK29" s="16">
        <f t="shared" ca="1" si="53"/>
        <v>86492.86332350038</v>
      </c>
      <c r="BL29" s="16">
        <f t="shared" ca="1" si="6"/>
        <v>7975444.7503356999</v>
      </c>
      <c r="BM29" s="16"/>
      <c r="BN29" s="16">
        <f t="shared" ca="1" si="34"/>
        <v>4409426.8411288308</v>
      </c>
      <c r="BQ29" s="16">
        <f t="shared" si="7"/>
        <v>33723.243148479974</v>
      </c>
      <c r="BS29" s="30">
        <f t="shared" ca="1" si="8"/>
        <v>2.0294367253492613E-2</v>
      </c>
      <c r="BU29" s="30">
        <f t="shared" ca="1" si="35"/>
        <v>1.249927623499314E-2</v>
      </c>
    </row>
    <row r="30" spans="1:73" x14ac:dyDescent="0.3">
      <c r="A30" s="36">
        <f t="shared" ca="1" si="0"/>
        <v>5143840.5699984515</v>
      </c>
      <c r="B30" s="36">
        <f t="shared" ca="1" si="1"/>
        <v>1714613.5233328175</v>
      </c>
      <c r="C30" s="36">
        <f t="shared" ca="1" si="54"/>
        <v>811646.88612388633</v>
      </c>
      <c r="D30" s="30">
        <f t="shared" ca="1" si="55"/>
        <v>0.63165745879773683</v>
      </c>
      <c r="E30" s="23">
        <f t="shared" ca="1" si="36"/>
        <v>3.3000000000000002E-2</v>
      </c>
      <c r="F30" s="30">
        <f t="shared" si="56"/>
        <v>3.3000000000000002E-2</v>
      </c>
      <c r="G30" s="23">
        <v>13.4</v>
      </c>
      <c r="H30" s="23">
        <f t="shared" si="69"/>
        <v>17.100000000000001</v>
      </c>
      <c r="I30" s="23">
        <f t="shared" si="62"/>
        <v>17.100000000000001</v>
      </c>
      <c r="J30" s="16">
        <f t="shared" ca="1" si="37"/>
        <v>253344.65987570555</v>
      </c>
      <c r="K30" s="16">
        <f t="shared" ca="1" si="2"/>
        <v>66049.795027401648</v>
      </c>
      <c r="L30" s="16">
        <f t="shared" ca="1" si="9"/>
        <v>11228.465154658281</v>
      </c>
      <c r="M30" s="23">
        <f t="shared" ca="1" si="63"/>
        <v>0</v>
      </c>
      <c r="N30" s="23">
        <f t="shared" ca="1" si="64"/>
        <v>0</v>
      </c>
      <c r="O30" s="23">
        <f t="shared" ca="1" si="65"/>
        <v>0</v>
      </c>
      <c r="P30" s="23">
        <f t="shared" ca="1" si="66"/>
        <v>0</v>
      </c>
      <c r="Q30" s="23">
        <f t="shared" ca="1" si="67"/>
        <v>0</v>
      </c>
      <c r="R30" s="30">
        <f t="shared" ca="1" si="68"/>
        <v>0.17</v>
      </c>
      <c r="S30" s="23">
        <f t="shared" si="61"/>
        <v>0</v>
      </c>
      <c r="T30" s="23">
        <f t="shared" si="17"/>
        <v>0</v>
      </c>
      <c r="V30" s="30">
        <f t="shared" si="38"/>
        <v>2.4999999999999996E-3</v>
      </c>
      <c r="W30" s="23">
        <f t="shared" si="59"/>
        <v>186623.65667305401</v>
      </c>
      <c r="X30">
        <f t="shared" si="18"/>
        <v>0</v>
      </c>
      <c r="Y30">
        <f t="shared" si="19"/>
        <v>0</v>
      </c>
      <c r="Z30">
        <f t="shared" si="20"/>
        <v>33723.243148479974</v>
      </c>
      <c r="AA30">
        <f>IF(MAX(AY$5:AY30)&gt;1,AA29+1,0)</f>
        <v>0</v>
      </c>
      <c r="AB30">
        <f>IF(MAX(AY$5:AY30)&gt;1,1,0)</f>
        <v>0</v>
      </c>
      <c r="AC30" t="str">
        <f t="shared" ca="1" si="3"/>
        <v>DECLINE</v>
      </c>
      <c r="AD30">
        <f t="shared" ca="1" si="21"/>
        <v>0</v>
      </c>
      <c r="AE30" s="23">
        <f t="shared" si="22"/>
        <v>0.85</v>
      </c>
      <c r="AF30">
        <f t="shared" ca="1" si="23"/>
        <v>1</v>
      </c>
      <c r="AH30">
        <f t="shared" si="24"/>
        <v>1</v>
      </c>
      <c r="AI30">
        <f t="shared" si="39"/>
        <v>26</v>
      </c>
      <c r="AJ30" s="15">
        <f t="shared" ca="1" si="25"/>
        <v>27.083333333333332</v>
      </c>
      <c r="AK30">
        <f t="shared" si="26"/>
        <v>91</v>
      </c>
      <c r="AL30">
        <f t="shared" si="40"/>
        <v>0</v>
      </c>
      <c r="AM30" s="3" t="str">
        <f t="shared" si="41"/>
        <v>D</v>
      </c>
      <c r="AN30">
        <f t="shared" si="27"/>
        <v>85</v>
      </c>
      <c r="AO30">
        <f t="shared" si="42"/>
        <v>1</v>
      </c>
      <c r="AP30" s="3" t="str">
        <f t="shared" si="28"/>
        <v/>
      </c>
      <c r="AQ30">
        <f t="shared" si="29"/>
        <v>44</v>
      </c>
      <c r="AR30" s="10">
        <f t="shared" si="43"/>
        <v>53328</v>
      </c>
      <c r="AS30">
        <f t="shared" si="44"/>
        <v>26</v>
      </c>
      <c r="AT30" s="30">
        <f t="shared" si="45"/>
        <v>3.3000000000000002E-2</v>
      </c>
      <c r="AU30" s="16">
        <f t="shared" ca="1" si="46"/>
        <v>6858454.093331269</v>
      </c>
      <c r="AV30" s="1"/>
      <c r="AW30" s="1" t="str">
        <f t="shared" ca="1" si="47"/>
        <v/>
      </c>
      <c r="AX30" s="16">
        <f t="shared" si="4"/>
        <v>0</v>
      </c>
      <c r="AY30" s="16"/>
      <c r="AZ30" s="1">
        <f t="shared" si="57"/>
        <v>187294.8648483039</v>
      </c>
      <c r="BA30" s="16">
        <f t="shared" si="30"/>
        <v>0</v>
      </c>
      <c r="BB30" s="28">
        <f t="shared" si="48"/>
        <v>0</v>
      </c>
      <c r="BC30" s="16">
        <f t="shared" si="49"/>
        <v>23546.292433912495</v>
      </c>
      <c r="BD30" s="16">
        <f t="shared" si="50"/>
        <v>35789.051407765204</v>
      </c>
      <c r="BE30" s="16">
        <f t="shared" ca="1" si="51"/>
        <v>0</v>
      </c>
      <c r="BF30" s="16">
        <f t="shared" ca="1" si="31"/>
        <v>-11228.465154658281</v>
      </c>
      <c r="BG30" s="16">
        <f t="shared" ca="1" si="32"/>
        <v>59335.343841677699</v>
      </c>
      <c r="BH30" s="16">
        <f t="shared" si="5"/>
        <v>0</v>
      </c>
      <c r="BI30" s="16">
        <f t="shared" ca="1" si="33"/>
        <v>-139187.98616128447</v>
      </c>
      <c r="BJ30" s="16">
        <f t="shared" si="52"/>
        <v>0</v>
      </c>
      <c r="BK30" s="16">
        <f t="shared" ca="1" si="53"/>
        <v>84667.4306537183</v>
      </c>
      <c r="BL30" s="16">
        <f t="shared" ca="1" si="6"/>
        <v>8105174.3592765983</v>
      </c>
      <c r="BM30" s="16"/>
      <c r="BN30" s="16">
        <f t="shared" ca="1" si="34"/>
        <v>4371854.775239394</v>
      </c>
      <c r="BQ30" s="16">
        <f t="shared" si="7"/>
        <v>34566.324227191973</v>
      </c>
      <c r="BS30" s="30">
        <f t="shared" ca="1" si="8"/>
        <v>2.0774859791501316E-2</v>
      </c>
      <c r="BU30" s="30">
        <f t="shared" ca="1" si="35"/>
        <v>1.203591862714215E-2</v>
      </c>
    </row>
    <row r="31" spans="1:73" x14ac:dyDescent="0.3">
      <c r="A31" s="36">
        <f t="shared" ca="1" si="0"/>
        <v>5205751.4165299451</v>
      </c>
      <c r="B31" s="36">
        <f t="shared" ca="1" si="1"/>
        <v>1735250.4721766487</v>
      </c>
      <c r="C31" s="36">
        <f t="shared" ca="1" si="54"/>
        <v>811646.88612388633</v>
      </c>
      <c r="D31" s="30">
        <f t="shared" ca="1" si="55"/>
        <v>0.63306488038211284</v>
      </c>
      <c r="E31" s="23">
        <f t="shared" ca="1" si="36"/>
        <v>3.3000000000000002E-2</v>
      </c>
      <c r="F31" s="30">
        <f t="shared" si="56"/>
        <v>3.3000000000000002E-2</v>
      </c>
      <c r="G31" s="23">
        <v>12.7</v>
      </c>
      <c r="H31" s="23">
        <f t="shared" si="69"/>
        <v>16.3</v>
      </c>
      <c r="I31" s="23">
        <f t="shared" si="62"/>
        <v>16.3</v>
      </c>
      <c r="J31" s="16">
        <f t="shared" ca="1" si="37"/>
        <v>269576.96505558642</v>
      </c>
      <c r="K31" s="16">
        <f t="shared" ca="1" si="2"/>
        <v>78408.238328739855</v>
      </c>
      <c r="L31" s="16">
        <f t="shared" ca="1" si="9"/>
        <v>13329.400515885776</v>
      </c>
      <c r="M31" s="23">
        <f t="shared" ca="1" si="63"/>
        <v>0</v>
      </c>
      <c r="N31" s="23">
        <f t="shared" ca="1" si="64"/>
        <v>0</v>
      </c>
      <c r="O31" s="23">
        <f t="shared" ca="1" si="65"/>
        <v>0</v>
      </c>
      <c r="P31" s="23">
        <f t="shared" ca="1" si="66"/>
        <v>0</v>
      </c>
      <c r="Q31" s="23">
        <f t="shared" ca="1" si="67"/>
        <v>0</v>
      </c>
      <c r="R31" s="30">
        <f t="shared" ca="1" si="68"/>
        <v>0.17</v>
      </c>
      <c r="S31" s="23">
        <f t="shared" si="61"/>
        <v>0</v>
      </c>
      <c r="T31" s="23">
        <f t="shared" si="17"/>
        <v>0</v>
      </c>
      <c r="V31" s="30">
        <f t="shared" si="38"/>
        <v>2.5999999999999994E-3</v>
      </c>
      <c r="W31" s="23">
        <f t="shared" si="59"/>
        <v>190338.06015733341</v>
      </c>
      <c r="X31">
        <f t="shared" si="18"/>
        <v>0</v>
      </c>
      <c r="Y31">
        <f t="shared" si="19"/>
        <v>0</v>
      </c>
      <c r="Z31">
        <f t="shared" si="20"/>
        <v>34566.324227191973</v>
      </c>
      <c r="AA31">
        <f>IF(MAX(AY$5:AY31)&gt;1,AA30+1,0)</f>
        <v>0</v>
      </c>
      <c r="AB31">
        <f>IF(MAX(AY$5:AY31)&gt;1,1,0)</f>
        <v>0</v>
      </c>
      <c r="AC31" t="str">
        <f t="shared" ca="1" si="3"/>
        <v>DECLINE</v>
      </c>
      <c r="AD31">
        <f t="shared" ca="1" si="21"/>
        <v>0</v>
      </c>
      <c r="AE31" s="23">
        <f t="shared" si="22"/>
        <v>0.85</v>
      </c>
      <c r="AF31">
        <f t="shared" ca="1" si="23"/>
        <v>1</v>
      </c>
      <c r="AH31">
        <f t="shared" si="24"/>
        <v>1</v>
      </c>
      <c r="AI31">
        <f t="shared" si="39"/>
        <v>27</v>
      </c>
      <c r="AJ31" s="15">
        <f t="shared" ca="1" si="25"/>
        <v>28.083333333333332</v>
      </c>
      <c r="AK31">
        <f t="shared" si="26"/>
        <v>92</v>
      </c>
      <c r="AL31">
        <f t="shared" si="40"/>
        <v>0</v>
      </c>
      <c r="AM31" s="3" t="str">
        <f t="shared" si="41"/>
        <v>D</v>
      </c>
      <c r="AN31">
        <f t="shared" si="27"/>
        <v>86</v>
      </c>
      <c r="AO31">
        <f t="shared" si="42"/>
        <v>1</v>
      </c>
      <c r="AP31" s="3" t="str">
        <f t="shared" si="28"/>
        <v/>
      </c>
      <c r="AQ31">
        <f t="shared" si="29"/>
        <v>45</v>
      </c>
      <c r="AR31" s="10">
        <f t="shared" si="43"/>
        <v>53693</v>
      </c>
      <c r="AS31">
        <f t="shared" si="44"/>
        <v>27</v>
      </c>
      <c r="AT31" s="30">
        <f t="shared" si="45"/>
        <v>3.3000000000000002E-2</v>
      </c>
      <c r="AU31" s="16">
        <f t="shared" ca="1" si="46"/>
        <v>6941001.8887065938</v>
      </c>
      <c r="AV31" s="1"/>
      <c r="AW31" s="1" t="str">
        <f t="shared" ca="1" si="47"/>
        <v/>
      </c>
      <c r="AX31" s="16">
        <f t="shared" si="4"/>
        <v>0</v>
      </c>
      <c r="AY31" s="16"/>
      <c r="AZ31" s="1">
        <f>((W31+X31+Y31+Z31)*AE31*AH31)+(T31)</f>
        <v>191168.72672684657</v>
      </c>
      <c r="BA31" s="16">
        <f t="shared" si="30"/>
        <v>0</v>
      </c>
      <c r="BB31" s="28">
        <f t="shared" si="48"/>
        <v>0</v>
      </c>
      <c r="BC31" s="16">
        <f t="shared" si="49"/>
        <v>24134.949744760306</v>
      </c>
      <c r="BD31" s="16">
        <f t="shared" si="50"/>
        <v>36164.836447546739</v>
      </c>
      <c r="BE31" s="16">
        <f t="shared" ca="1" si="51"/>
        <v>0</v>
      </c>
      <c r="BF31" s="16">
        <f t="shared" ca="1" si="31"/>
        <v>-13329.400515885776</v>
      </c>
      <c r="BG31" s="16">
        <f t="shared" ca="1" si="32"/>
        <v>60299.786192307045</v>
      </c>
      <c r="BH31" s="16">
        <f t="shared" si="5"/>
        <v>0</v>
      </c>
      <c r="BI31" s="16">
        <f t="shared" ca="1" si="33"/>
        <v>-144198.34105042531</v>
      </c>
      <c r="BJ31" s="16">
        <f t="shared" si="52"/>
        <v>0</v>
      </c>
      <c r="BK31" s="16">
        <f t="shared" ca="1" si="53"/>
        <v>82547.795375324786</v>
      </c>
      <c r="BL31" s="16">
        <f t="shared" ca="1" si="6"/>
        <v>8234474.1646248735</v>
      </c>
      <c r="BM31" s="16"/>
      <c r="BN31" s="16">
        <f t="shared" ca="1" si="34"/>
        <v>4333266.2180115879</v>
      </c>
      <c r="BQ31" s="16">
        <f t="shared" si="7"/>
        <v>35430.482332871768</v>
      </c>
      <c r="BS31" s="30">
        <f t="shared" ca="1" si="8"/>
        <v>2.1292242382865371E-2</v>
      </c>
      <c r="BU31" s="30">
        <f t="shared" ca="1" si="35"/>
        <v>1.1539569835379071E-2</v>
      </c>
    </row>
    <row r="32" spans="1:73" x14ac:dyDescent="0.3">
      <c r="A32" s="36">
        <f t="shared" ca="1" si="0"/>
        <v>5265823.548546616</v>
      </c>
      <c r="B32" s="36">
        <f t="shared" ca="1" si="1"/>
        <v>1755274.5161822056</v>
      </c>
      <c r="C32" s="36">
        <f t="shared" ca="1" si="54"/>
        <v>811646.88612388633</v>
      </c>
      <c r="D32" s="30">
        <f t="shared" ca="1" si="55"/>
        <v>0.63439886772109411</v>
      </c>
      <c r="E32" s="23">
        <f t="shared" ca="1" si="36"/>
        <v>3.3000000000000002E-2</v>
      </c>
      <c r="F32" s="30">
        <f t="shared" si="56"/>
        <v>3.3000000000000002E-2</v>
      </c>
      <c r="G32" s="23">
        <v>12</v>
      </c>
      <c r="H32" s="23">
        <f t="shared" si="69"/>
        <v>15.5</v>
      </c>
      <c r="I32" s="23">
        <f t="shared" si="62"/>
        <v>15.5</v>
      </c>
      <c r="J32" s="16">
        <f t="shared" ca="1" si="37"/>
        <v>287366.23628533742</v>
      </c>
      <c r="K32" s="16">
        <f t="shared" ca="1" si="2"/>
        <v>92275.209371854318</v>
      </c>
      <c r="L32" s="16">
        <f t="shared" ca="1" si="9"/>
        <v>15686.785593215236</v>
      </c>
      <c r="M32" s="23">
        <f t="shared" ca="1" si="63"/>
        <v>0</v>
      </c>
      <c r="N32" s="23">
        <f t="shared" ca="1" si="64"/>
        <v>0</v>
      </c>
      <c r="O32" s="23">
        <f t="shared" ca="1" si="65"/>
        <v>0</v>
      </c>
      <c r="P32" s="23">
        <f t="shared" ca="1" si="66"/>
        <v>0</v>
      </c>
      <c r="Q32" s="23">
        <f t="shared" ca="1" si="67"/>
        <v>0</v>
      </c>
      <c r="R32" s="30">
        <f t="shared" ca="1" si="68"/>
        <v>0.17</v>
      </c>
      <c r="S32" s="23">
        <f t="shared" si="61"/>
        <v>0</v>
      </c>
      <c r="T32" s="23">
        <f t="shared" si="17"/>
        <v>0</v>
      </c>
      <c r="V32" s="30">
        <f t="shared" si="38"/>
        <v>2.6999999999999993E-3</v>
      </c>
      <c r="W32" s="23">
        <f t="shared" si="59"/>
        <v>194088.37285946132</v>
      </c>
      <c r="X32">
        <f t="shared" si="18"/>
        <v>0</v>
      </c>
      <c r="Y32">
        <f t="shared" si="19"/>
        <v>0</v>
      </c>
      <c r="Z32">
        <f t="shared" si="20"/>
        <v>35430.482332871768</v>
      </c>
      <c r="AA32">
        <f>IF(MAX(AY$5:AY32)&gt;1,AA31+1,0)</f>
        <v>0</v>
      </c>
      <c r="AB32">
        <f>IF(MAX(AY$5:AY32)&gt;1,1,0)</f>
        <v>0</v>
      </c>
      <c r="AC32" t="str">
        <f t="shared" ca="1" si="3"/>
        <v>DECLINE</v>
      </c>
      <c r="AD32">
        <f t="shared" ca="1" si="21"/>
        <v>0</v>
      </c>
      <c r="AE32" s="23">
        <f t="shared" si="22"/>
        <v>0.85</v>
      </c>
      <c r="AF32">
        <f t="shared" ca="1" si="23"/>
        <v>1</v>
      </c>
      <c r="AH32">
        <f t="shared" si="24"/>
        <v>1</v>
      </c>
      <c r="AI32">
        <f t="shared" si="39"/>
        <v>28</v>
      </c>
      <c r="AJ32" s="15">
        <f t="shared" ca="1" si="25"/>
        <v>29.083333333333332</v>
      </c>
      <c r="AK32">
        <f t="shared" si="26"/>
        <v>93</v>
      </c>
      <c r="AL32">
        <f t="shared" si="40"/>
        <v>0</v>
      </c>
      <c r="AM32" s="3" t="str">
        <f t="shared" si="41"/>
        <v>D</v>
      </c>
      <c r="AN32">
        <f t="shared" si="27"/>
        <v>87</v>
      </c>
      <c r="AO32">
        <f t="shared" si="42"/>
        <v>1</v>
      </c>
      <c r="AP32" s="3" t="str">
        <f t="shared" si="28"/>
        <v/>
      </c>
      <c r="AQ32">
        <f t="shared" si="29"/>
        <v>46</v>
      </c>
      <c r="AR32" s="10">
        <f t="shared" si="43"/>
        <v>54058</v>
      </c>
      <c r="AS32">
        <f t="shared" si="44"/>
        <v>28</v>
      </c>
      <c r="AT32" s="30">
        <f t="shared" si="45"/>
        <v>3.3000000000000002E-2</v>
      </c>
      <c r="AU32" s="16">
        <f t="shared" ca="1" si="46"/>
        <v>7021098.0647288216</v>
      </c>
      <c r="AV32" s="1"/>
      <c r="AW32" s="1" t="str">
        <f t="shared" ca="1" si="47"/>
        <v/>
      </c>
      <c r="AX32" s="16">
        <f t="shared" si="4"/>
        <v>0</v>
      </c>
      <c r="AY32" s="16"/>
      <c r="AZ32" s="1">
        <f t="shared" si="57"/>
        <v>195091.0269134831</v>
      </c>
      <c r="BA32" s="16">
        <f t="shared" si="30"/>
        <v>0</v>
      </c>
      <c r="BB32" s="28">
        <f t="shared" si="48"/>
        <v>0</v>
      </c>
      <c r="BC32" s="16">
        <f t="shared" si="49"/>
        <v>24738.323488379312</v>
      </c>
      <c r="BD32" s="16">
        <f t="shared" si="50"/>
        <v>36544.567230245979</v>
      </c>
      <c r="BE32" s="16">
        <f t="shared" ca="1" si="51"/>
        <v>0</v>
      </c>
      <c r="BF32" s="16">
        <f t="shared" ca="1" si="31"/>
        <v>-15686.785593215236</v>
      </c>
      <c r="BG32" s="16">
        <f t="shared" ca="1" si="32"/>
        <v>61282.890718625291</v>
      </c>
      <c r="BH32" s="16">
        <f t="shared" si="5"/>
        <v>0</v>
      </c>
      <c r="BI32" s="16">
        <f t="shared" ca="1" si="33"/>
        <v>-149494.92178807306</v>
      </c>
      <c r="BJ32" s="16">
        <f t="shared" si="52"/>
        <v>0</v>
      </c>
      <c r="BK32" s="16">
        <f t="shared" ca="1" si="53"/>
        <v>80096.176022227854</v>
      </c>
      <c r="BL32" s="16">
        <f t="shared" ca="1" si="6"/>
        <v>8363075.5509940367</v>
      </c>
      <c r="BM32" s="16"/>
      <c r="BN32" s="16">
        <f t="shared" ca="1" si="34"/>
        <v>4293600.7148692776</v>
      </c>
      <c r="BQ32" s="16">
        <f t="shared" si="7"/>
        <v>36316.244391193562</v>
      </c>
      <c r="BS32" s="30">
        <f t="shared" ca="1" si="8"/>
        <v>2.2100966602676693E-2</v>
      </c>
      <c r="BU32" s="30">
        <f t="shared" ca="1" si="35"/>
        <v>1.1005113618499873E-2</v>
      </c>
    </row>
    <row r="33" spans="1:73" x14ac:dyDescent="0.3">
      <c r="A33" s="36">
        <f t="shared" ca="1" si="0"/>
        <v>5323774.534993344</v>
      </c>
      <c r="B33" s="36">
        <f t="shared" ca="1" si="1"/>
        <v>1774591.5116644483</v>
      </c>
      <c r="C33" s="36">
        <f t="shared" ca="1" si="54"/>
        <v>811646.88612388633</v>
      </c>
      <c r="D33" s="30">
        <f t="shared" ca="1" si="55"/>
        <v>0.63565722297372318</v>
      </c>
      <c r="E33" s="23">
        <f t="shared" ca="1" si="36"/>
        <v>3.3000000000000002E-2</v>
      </c>
      <c r="F33" s="30">
        <f t="shared" si="56"/>
        <v>3.3000000000000002E-2</v>
      </c>
      <c r="G33" s="23">
        <v>11.4</v>
      </c>
      <c r="H33" s="23">
        <f t="shared" si="69"/>
        <v>14.8</v>
      </c>
      <c r="I33" s="23">
        <f t="shared" si="62"/>
        <v>14.8</v>
      </c>
      <c r="J33" s="16">
        <f t="shared" ca="1" si="37"/>
        <v>304873.4897884769</v>
      </c>
      <c r="K33" s="16">
        <f t="shared" ca="1" si="2"/>
        <v>105811.9408592179</v>
      </c>
      <c r="L33" s="16">
        <f t="shared" ca="1" si="9"/>
        <v>20104.268763251399</v>
      </c>
      <c r="M33" s="23">
        <f t="shared" ca="1" si="63"/>
        <v>0.02</v>
      </c>
      <c r="N33" s="23">
        <f t="shared" ca="1" si="64"/>
        <v>0</v>
      </c>
      <c r="O33" s="23">
        <f t="shared" ca="1" si="65"/>
        <v>0</v>
      </c>
      <c r="P33" s="23">
        <f t="shared" ca="1" si="66"/>
        <v>0</v>
      </c>
      <c r="Q33" s="23">
        <f t="shared" ca="1" si="67"/>
        <v>0</v>
      </c>
      <c r="R33" s="30">
        <f t="shared" ca="1" si="68"/>
        <v>0.19</v>
      </c>
      <c r="S33" s="23">
        <f t="shared" si="61"/>
        <v>0</v>
      </c>
      <c r="T33" s="23">
        <f t="shared" si="17"/>
        <v>0</v>
      </c>
      <c r="V33" s="30">
        <f t="shared" si="38"/>
        <v>2.7999999999999991E-3</v>
      </c>
      <c r="W33" s="23">
        <f t="shared" si="59"/>
        <v>197873.81317264057</v>
      </c>
      <c r="X33">
        <f t="shared" si="18"/>
        <v>0</v>
      </c>
      <c r="Y33">
        <f t="shared" si="19"/>
        <v>0</v>
      </c>
      <c r="Z33">
        <f t="shared" si="20"/>
        <v>36316.244391193562</v>
      </c>
      <c r="AA33">
        <f>IF(MAX(AY$5:AY33)&gt;1,AA32+1,0)</f>
        <v>0</v>
      </c>
      <c r="AB33">
        <f>IF(MAX(AY$5:AY33)&gt;1,1,0)</f>
        <v>0</v>
      </c>
      <c r="AC33" t="str">
        <f t="shared" ca="1" si="3"/>
        <v>DECLINE</v>
      </c>
      <c r="AD33">
        <f t="shared" ca="1" si="21"/>
        <v>0</v>
      </c>
      <c r="AE33" s="23">
        <f t="shared" si="22"/>
        <v>0.85</v>
      </c>
      <c r="AF33">
        <f t="shared" ca="1" si="23"/>
        <v>1</v>
      </c>
      <c r="AH33">
        <f t="shared" si="24"/>
        <v>1</v>
      </c>
      <c r="AI33">
        <f t="shared" si="39"/>
        <v>29</v>
      </c>
      <c r="AJ33" s="15">
        <f t="shared" ca="1" si="25"/>
        <v>30.083333333333332</v>
      </c>
      <c r="AK33">
        <f t="shared" si="26"/>
        <v>94</v>
      </c>
      <c r="AL33">
        <f t="shared" si="40"/>
        <v>0</v>
      </c>
      <c r="AM33" s="3" t="str">
        <f t="shared" si="41"/>
        <v>D</v>
      </c>
      <c r="AN33">
        <f t="shared" si="27"/>
        <v>88</v>
      </c>
      <c r="AO33">
        <f t="shared" si="42"/>
        <v>1</v>
      </c>
      <c r="AP33" s="3" t="str">
        <f t="shared" si="28"/>
        <v/>
      </c>
      <c r="AQ33">
        <f t="shared" si="29"/>
        <v>47</v>
      </c>
      <c r="AR33" s="10">
        <f t="shared" si="43"/>
        <v>54424</v>
      </c>
      <c r="AS33">
        <f t="shared" si="44"/>
        <v>29</v>
      </c>
      <c r="AT33" s="30">
        <f t="shared" si="45"/>
        <v>3.3000000000000002E-2</v>
      </c>
      <c r="AU33" s="16">
        <f t="shared" ca="1" si="46"/>
        <v>7098366.0466577923</v>
      </c>
      <c r="AV33" s="1"/>
      <c r="AW33" s="1" t="str">
        <f t="shared" ca="1" si="47"/>
        <v/>
      </c>
      <c r="AX33" s="16">
        <f t="shared" si="4"/>
        <v>0</v>
      </c>
      <c r="AY33" s="16"/>
      <c r="AZ33" s="1">
        <f t="shared" si="57"/>
        <v>199061.54892925901</v>
      </c>
      <c r="BA33" s="16">
        <f t="shared" si="30"/>
        <v>0</v>
      </c>
      <c r="BB33" s="28">
        <f t="shared" si="48"/>
        <v>0</v>
      </c>
      <c r="BC33" s="16">
        <f t="shared" si="49"/>
        <v>25356.781575588793</v>
      </c>
      <c r="BD33" s="16">
        <f t="shared" si="50"/>
        <v>36928.285186163557</v>
      </c>
      <c r="BE33" s="16">
        <f t="shared" ca="1" si="51"/>
        <v>0</v>
      </c>
      <c r="BF33" s="16">
        <f t="shared" ca="1" si="31"/>
        <v>-20104.268763251399</v>
      </c>
      <c r="BG33" s="16">
        <f t="shared" ca="1" si="32"/>
        <v>62285.06676175235</v>
      </c>
      <c r="BH33" s="16">
        <f t="shared" si="5"/>
        <v>0</v>
      </c>
      <c r="BI33" s="16">
        <f t="shared" ca="1" si="33"/>
        <v>-156880.75093075805</v>
      </c>
      <c r="BJ33" s="16">
        <f t="shared" si="52"/>
        <v>0</v>
      </c>
      <c r="BK33" s="16">
        <f t="shared" ca="1" si="53"/>
        <v>77267.981928970665</v>
      </c>
      <c r="BL33" s="16">
        <f t="shared" ca="1" si="6"/>
        <v>8490667.6886579543</v>
      </c>
      <c r="BM33" s="16"/>
      <c r="BN33" s="16">
        <f t="shared" ca="1" si="34"/>
        <v>4252786.8133341484</v>
      </c>
      <c r="BQ33" s="16">
        <f t="shared" si="7"/>
        <v>37224.150500973403</v>
      </c>
      <c r="BS33" s="30">
        <f t="shared" ca="1" si="8"/>
        <v>2.2692721891918722E-2</v>
      </c>
      <c r="BU33" s="30">
        <f t="shared" ca="1" si="35"/>
        <v>1.0169701499434858E-2</v>
      </c>
    </row>
    <row r="34" spans="1:73" x14ac:dyDescent="0.3">
      <c r="A34" s="36">
        <f t="shared" ca="1" si="0"/>
        <v>5377915.7328645196</v>
      </c>
      <c r="B34" s="36">
        <f t="shared" ca="1" si="1"/>
        <v>1792638.5776215065</v>
      </c>
      <c r="C34" s="36">
        <f t="shared" ca="1" si="54"/>
        <v>811646.88612388633</v>
      </c>
      <c r="D34" s="30">
        <f t="shared" ca="1" si="55"/>
        <v>0.63680834828390376</v>
      </c>
      <c r="E34" s="23">
        <f t="shared" ca="1" si="36"/>
        <v>3.3000000000000002E-2</v>
      </c>
      <c r="F34" s="30">
        <f t="shared" si="56"/>
        <v>3.3000000000000002E-2</v>
      </c>
      <c r="G34" s="23">
        <v>10.8</v>
      </c>
      <c r="H34" s="23">
        <f t="shared" si="69"/>
        <v>14.1</v>
      </c>
      <c r="I34" s="23">
        <f t="shared" si="62"/>
        <v>14.1</v>
      </c>
      <c r="J34" s="16">
        <f t="shared" ca="1" si="37"/>
        <v>323848.85437876824</v>
      </c>
      <c r="K34" s="16">
        <f t="shared" ca="1" si="2"/>
        <v>120768.7979066828</v>
      </c>
      <c r="L34" s="16">
        <f t="shared" ca="1" si="9"/>
        <v>22946.071602269731</v>
      </c>
      <c r="M34" s="23">
        <f t="shared" ca="1" si="63"/>
        <v>0.02</v>
      </c>
      <c r="N34" s="23">
        <f t="shared" ca="1" si="64"/>
        <v>0</v>
      </c>
      <c r="O34" s="23">
        <f t="shared" ca="1" si="65"/>
        <v>0</v>
      </c>
      <c r="P34" s="23">
        <f t="shared" ca="1" si="66"/>
        <v>0</v>
      </c>
      <c r="Q34" s="23">
        <f t="shared" ca="1" si="67"/>
        <v>0</v>
      </c>
      <c r="R34" s="30">
        <f t="shared" ca="1" si="68"/>
        <v>0.19</v>
      </c>
      <c r="S34" s="23">
        <f t="shared" si="61"/>
        <v>0</v>
      </c>
      <c r="T34" s="23">
        <f t="shared" si="17"/>
        <v>0</v>
      </c>
      <c r="V34" s="30">
        <f t="shared" si="38"/>
        <v>2.8999999999999989E-3</v>
      </c>
      <c r="W34" s="23">
        <f t="shared" si="59"/>
        <v>201693.56299559772</v>
      </c>
      <c r="X34">
        <f t="shared" si="18"/>
        <v>0</v>
      </c>
      <c r="Y34">
        <f t="shared" si="19"/>
        <v>0</v>
      </c>
      <c r="Z34">
        <f t="shared" si="20"/>
        <v>37224.150500973403</v>
      </c>
      <c r="AA34">
        <f>IF(MAX(AY$5:AY34)&gt;1,AA33+1,0)</f>
        <v>0</v>
      </c>
      <c r="AB34">
        <f>IF(MAX(AY$5:AY34)&gt;1,1,0)</f>
        <v>0</v>
      </c>
      <c r="AC34" t="str">
        <f t="shared" ca="1" si="3"/>
        <v>DECLINE</v>
      </c>
      <c r="AD34">
        <f t="shared" ca="1" si="21"/>
        <v>0</v>
      </c>
      <c r="AE34" s="23">
        <f t="shared" si="22"/>
        <v>0.85</v>
      </c>
      <c r="AF34">
        <f t="shared" ca="1" si="23"/>
        <v>1</v>
      </c>
      <c r="AH34">
        <f t="shared" si="24"/>
        <v>1</v>
      </c>
      <c r="AI34">
        <f t="shared" si="39"/>
        <v>30</v>
      </c>
      <c r="AJ34" s="15">
        <f t="shared" ca="1" si="25"/>
        <v>31.083333333333332</v>
      </c>
      <c r="AK34">
        <f t="shared" ref="AK34:AK40" si="70">AK33+1</f>
        <v>95</v>
      </c>
      <c r="AL34">
        <f t="shared" si="40"/>
        <v>0</v>
      </c>
      <c r="AM34" s="3" t="str">
        <f t="shared" si="41"/>
        <v>D</v>
      </c>
      <c r="AN34">
        <f t="shared" ref="AN34:AN40" si="71">AN33+1</f>
        <v>89</v>
      </c>
      <c r="AO34">
        <f t="shared" si="42"/>
        <v>1</v>
      </c>
      <c r="AP34" s="3" t="str">
        <f t="shared" si="28"/>
        <v/>
      </c>
      <c r="AQ34">
        <f t="shared" ref="AQ34:AQ40" si="72">AQ33+1</f>
        <v>48</v>
      </c>
      <c r="AR34" s="10">
        <f t="shared" si="43"/>
        <v>54789</v>
      </c>
      <c r="AS34">
        <f t="shared" ref="AS34:AS40" si="73">AS33+1</f>
        <v>30</v>
      </c>
      <c r="AT34" s="30">
        <f t="shared" si="45"/>
        <v>3.3000000000000002E-2</v>
      </c>
      <c r="AU34" s="16">
        <f t="shared" ca="1" si="46"/>
        <v>7170554.3104860261</v>
      </c>
      <c r="AV34" s="1"/>
      <c r="AW34" s="1" t="str">
        <f t="shared" ca="1" si="47"/>
        <v/>
      </c>
      <c r="AX34" s="16">
        <f t="shared" si="4"/>
        <v>0</v>
      </c>
      <c r="AY34" s="16"/>
      <c r="AZ34" s="1">
        <f>((W34+X34+Y34+Z34)*AE34*AH34)+(T34)</f>
        <v>203080.05647208545</v>
      </c>
      <c r="BA34" s="16">
        <f t="shared" si="30"/>
        <v>0</v>
      </c>
      <c r="BB34" s="28">
        <f t="shared" si="48"/>
        <v>0</v>
      </c>
      <c r="BC34" s="16">
        <f t="shared" si="49"/>
        <v>25990.70111497851</v>
      </c>
      <c r="BD34" s="16">
        <f t="shared" si="50"/>
        <v>37316.032180618276</v>
      </c>
      <c r="BE34" s="16">
        <f t="shared" ca="1" si="51"/>
        <v>0</v>
      </c>
      <c r="BF34" s="16">
        <f t="shared" ca="1" si="31"/>
        <v>-22946.071602269731</v>
      </c>
      <c r="BG34" s="16">
        <f t="shared" ca="1" si="32"/>
        <v>63306.733295596787</v>
      </c>
      <c r="BH34" s="16">
        <f t="shared" si="5"/>
        <v>0</v>
      </c>
      <c r="BI34" s="16">
        <f t="shared" ca="1" si="33"/>
        <v>-162719.3947787584</v>
      </c>
      <c r="BJ34" s="16">
        <f t="shared" si="52"/>
        <v>0</v>
      </c>
      <c r="BK34" s="16">
        <f t="shared" ca="1" si="53"/>
        <v>72188.263828233816</v>
      </c>
      <c r="BL34" s="16">
        <f t="shared" ca="1" si="6"/>
        <v>8615067.2640611939</v>
      </c>
      <c r="BM34" s="16"/>
      <c r="BN34" s="16">
        <f t="shared" ca="1" si="34"/>
        <v>4209849.5579952924</v>
      </c>
      <c r="BQ34" s="16">
        <f t="shared" si="7"/>
        <v>38154.754263497722</v>
      </c>
      <c r="BS34" s="30">
        <f t="shared" ca="1" si="8"/>
        <v>2.3333674359794436E-2</v>
      </c>
      <c r="BU34" s="30">
        <f t="shared" ca="1" si="35"/>
        <v>9.5584182856478517E-3</v>
      </c>
    </row>
    <row r="35" spans="1:73" x14ac:dyDescent="0.3">
      <c r="A35" s="36">
        <f t="shared" ca="1" si="0"/>
        <v>5429320.1009442052</v>
      </c>
      <c r="B35" s="36">
        <f t="shared" ca="1" si="1"/>
        <v>1809773.366981402</v>
      </c>
      <c r="C35" s="36">
        <f t="shared" ca="1" si="54"/>
        <v>811646.88612388633</v>
      </c>
      <c r="D35" s="30">
        <f t="shared" ca="1" si="55"/>
        <v>0.63788003778096436</v>
      </c>
      <c r="E35" s="23">
        <f t="shared" ca="1" si="36"/>
        <v>3.3000000000000002E-2</v>
      </c>
      <c r="F35" s="30">
        <f t="shared" si="56"/>
        <v>3.3000000000000002E-2</v>
      </c>
      <c r="G35" s="23">
        <v>10.199999999999999</v>
      </c>
      <c r="H35" s="23">
        <f t="shared" si="69"/>
        <v>13.4</v>
      </c>
      <c r="I35" s="23">
        <f t="shared" si="62"/>
        <v>13.4</v>
      </c>
      <c r="J35" s="16">
        <f t="shared" ca="1" si="37"/>
        <v>344602.47871793422</v>
      </c>
      <c r="K35" s="16">
        <f ca="1">IF(J35-AZ35&gt;0,J35-AZ35,0)</f>
        <v>137456.1850813276</v>
      </c>
      <c r="L35" s="16">
        <f t="shared" ca="1" si="9"/>
        <v>26116.675165452245</v>
      </c>
      <c r="M35" s="23">
        <f t="shared" ca="1" si="63"/>
        <v>0.02</v>
      </c>
      <c r="N35" s="23">
        <f t="shared" ca="1" si="64"/>
        <v>0</v>
      </c>
      <c r="O35" s="23">
        <f t="shared" ca="1" si="65"/>
        <v>0</v>
      </c>
      <c r="P35" s="23">
        <f t="shared" ca="1" si="66"/>
        <v>0</v>
      </c>
      <c r="Q35" s="23">
        <f t="shared" ca="1" si="67"/>
        <v>0</v>
      </c>
      <c r="R35" s="30">
        <f t="shared" ca="1" si="68"/>
        <v>0.19</v>
      </c>
      <c r="S35" s="23">
        <f t="shared" si="61"/>
        <v>0</v>
      </c>
      <c r="T35" s="23">
        <f t="shared" si="17"/>
        <v>0</v>
      </c>
      <c r="V35" s="30">
        <f t="shared" si="38"/>
        <v>2.9999999999999988E-3</v>
      </c>
      <c r="W35" s="23">
        <f t="shared" si="59"/>
        <v>205546.76766192185</v>
      </c>
      <c r="X35">
        <f t="shared" si="18"/>
        <v>0</v>
      </c>
      <c r="Y35">
        <f t="shared" si="19"/>
        <v>0</v>
      </c>
      <c r="Z35">
        <f t="shared" si="20"/>
        <v>38154.754263497722</v>
      </c>
      <c r="AA35">
        <f>IF(MAX(AY$5:AY35)&gt;1,AA34+1,0)</f>
        <v>0</v>
      </c>
      <c r="AB35">
        <f>IF(MAX(AY$5:AY35)&gt;1,1,0)</f>
        <v>0</v>
      </c>
      <c r="AC35" t="str">
        <f t="shared" ca="1" si="3"/>
        <v>DECLINE</v>
      </c>
      <c r="AD35">
        <f t="shared" ca="1" si="21"/>
        <v>0</v>
      </c>
      <c r="AE35" s="23">
        <f t="shared" si="22"/>
        <v>0.85</v>
      </c>
      <c r="AF35">
        <f t="shared" ca="1" si="23"/>
        <v>1</v>
      </c>
      <c r="AH35">
        <f t="shared" si="24"/>
        <v>1</v>
      </c>
      <c r="AI35">
        <f t="shared" si="39"/>
        <v>31</v>
      </c>
      <c r="AJ35" s="15">
        <f t="shared" ca="1" si="25"/>
        <v>32.083333333333336</v>
      </c>
      <c r="AK35">
        <f t="shared" si="70"/>
        <v>96</v>
      </c>
      <c r="AL35">
        <f t="shared" si="40"/>
        <v>0</v>
      </c>
      <c r="AM35" s="3" t="str">
        <f t="shared" si="41"/>
        <v>D</v>
      </c>
      <c r="AN35">
        <f t="shared" si="71"/>
        <v>90</v>
      </c>
      <c r="AO35">
        <f t="shared" si="42"/>
        <v>1</v>
      </c>
      <c r="AP35" s="3" t="str">
        <f t="shared" si="28"/>
        <v/>
      </c>
      <c r="AQ35">
        <f t="shared" si="72"/>
        <v>49</v>
      </c>
      <c r="AR35" s="10">
        <f t="shared" si="43"/>
        <v>55154</v>
      </c>
      <c r="AS35">
        <f t="shared" si="73"/>
        <v>31</v>
      </c>
      <c r="AT35" s="30">
        <f t="shared" si="45"/>
        <v>3.3000000000000002E-2</v>
      </c>
      <c r="AU35" s="16">
        <f t="shared" ca="1" si="46"/>
        <v>7239093.4679256072</v>
      </c>
      <c r="AV35" s="1"/>
      <c r="AW35" s="1" t="str">
        <f t="shared" ca="1" si="47"/>
        <v/>
      </c>
      <c r="AX35" s="16">
        <f t="shared" si="4"/>
        <v>0</v>
      </c>
      <c r="AY35" s="16"/>
      <c r="AZ35" s="1">
        <f t="shared" si="57"/>
        <v>207146.29363660663</v>
      </c>
      <c r="BA35" s="16">
        <f t="shared" si="30"/>
        <v>0</v>
      </c>
      <c r="BB35" s="28">
        <f t="shared" si="48"/>
        <v>0</v>
      </c>
      <c r="BC35" s="16">
        <f t="shared" si="49"/>
        <v>26640.468642852971</v>
      </c>
      <c r="BD35" s="16">
        <f t="shared" si="50"/>
        <v>37707.850518514766</v>
      </c>
      <c r="BE35" s="16">
        <f t="shared" ca="1" si="51"/>
        <v>0</v>
      </c>
      <c r="BF35" s="16">
        <f t="shared" ca="1" si="31"/>
        <v>-26116.675165452245</v>
      </c>
      <c r="BG35" s="16">
        <f t="shared" ca="1" si="32"/>
        <v>64348.319161367734</v>
      </c>
      <c r="BH35" s="16">
        <f t="shared" si="5"/>
        <v>0</v>
      </c>
      <c r="BI35" s="16">
        <f t="shared" ca="1" si="33"/>
        <v>-168914.64964069112</v>
      </c>
      <c r="BJ35" s="16">
        <f t="shared" si="52"/>
        <v>0</v>
      </c>
      <c r="BK35" s="16">
        <f t="shared" ca="1" si="53"/>
        <v>68539.157439581119</v>
      </c>
      <c r="BL35" s="16">
        <f t="shared" ca="1" si="6"/>
        <v>8737775.6572598442</v>
      </c>
      <c r="BM35" s="16"/>
      <c r="BN35" s="16">
        <f t="shared" ca="1" si="34"/>
        <v>4165670.6293509803</v>
      </c>
      <c r="BQ35" s="16">
        <f t="shared" si="7"/>
        <v>39108.623120085183</v>
      </c>
      <c r="BS35" s="30">
        <f t="shared" ca="1" si="8"/>
        <v>2.4031815446827719E-2</v>
      </c>
      <c r="BU35" s="30">
        <f t="shared" ca="1" si="35"/>
        <v>8.8963143863323157E-3</v>
      </c>
    </row>
    <row r="36" spans="1:73" x14ac:dyDescent="0.3">
      <c r="A36" s="36">
        <f t="shared" ca="1" si="0"/>
        <v>5477621.0394662376</v>
      </c>
      <c r="B36" s="36">
        <f t="shared" ca="1" si="1"/>
        <v>1825873.6798220798</v>
      </c>
      <c r="C36" s="36">
        <f t="shared" ca="1" si="54"/>
        <v>811646.88612388633</v>
      </c>
      <c r="D36" s="30">
        <f t="shared" ca="1" si="55"/>
        <v>0.6388686967924615</v>
      </c>
      <c r="E36" s="23">
        <f t="shared" ca="1" si="36"/>
        <v>3.3000000000000002E-2</v>
      </c>
      <c r="F36" s="30">
        <f t="shared" si="56"/>
        <v>3.3000000000000002E-2</v>
      </c>
      <c r="G36" s="23">
        <v>9.6</v>
      </c>
      <c r="H36" s="23">
        <f t="shared" si="69"/>
        <v>12.7</v>
      </c>
      <c r="I36" s="23">
        <f t="shared" si="62"/>
        <v>12.7</v>
      </c>
      <c r="J36" s="16">
        <f t="shared" ca="1" si="37"/>
        <v>367399.53963325609</v>
      </c>
      <c r="K36" s="16">
        <f t="shared" ca="1" si="2"/>
        <v>156139.55446241354</v>
      </c>
      <c r="L36" s="16">
        <f t="shared" ca="1" si="9"/>
        <v>29666.515347858571</v>
      </c>
      <c r="M36" s="23">
        <f t="shared" ca="1" si="63"/>
        <v>0.02</v>
      </c>
      <c r="N36" s="23">
        <f t="shared" ca="1" si="64"/>
        <v>0</v>
      </c>
      <c r="O36" s="23">
        <f t="shared" ca="1" si="65"/>
        <v>0</v>
      </c>
      <c r="P36" s="23">
        <f t="shared" ca="1" si="66"/>
        <v>0</v>
      </c>
      <c r="Q36" s="23">
        <f t="shared" ca="1" si="67"/>
        <v>0</v>
      </c>
      <c r="R36" s="30">
        <f t="shared" ca="1" si="68"/>
        <v>0.19</v>
      </c>
      <c r="S36" s="23">
        <f t="shared" si="61"/>
        <v>0</v>
      </c>
      <c r="T36" s="23">
        <f t="shared" si="17"/>
        <v>0</v>
      </c>
      <c r="V36" s="30">
        <f t="shared" si="38"/>
        <v>3.0999999999999986E-3</v>
      </c>
      <c r="W36" s="23">
        <f t="shared" si="59"/>
        <v>209432.53590443547</v>
      </c>
      <c r="X36">
        <f t="shared" si="18"/>
        <v>0</v>
      </c>
      <c r="Y36">
        <f t="shared" si="19"/>
        <v>0</v>
      </c>
      <c r="Z36">
        <f t="shared" si="20"/>
        <v>39108.623120085183</v>
      </c>
      <c r="AA36">
        <f>IF(MAX(AY$5:AY36)&gt;1,AA35+1,0)</f>
        <v>0</v>
      </c>
      <c r="AB36">
        <f>IF(MAX(AY$5:AY36)&gt;1,1,0)</f>
        <v>0</v>
      </c>
      <c r="AC36" t="str">
        <f t="shared" ca="1" si="3"/>
        <v>DECLINE</v>
      </c>
      <c r="AD36">
        <f t="shared" ca="1" si="21"/>
        <v>0</v>
      </c>
      <c r="AE36" s="23">
        <f t="shared" si="22"/>
        <v>0.85</v>
      </c>
      <c r="AF36">
        <f t="shared" ca="1" si="23"/>
        <v>1</v>
      </c>
      <c r="AH36">
        <f t="shared" si="24"/>
        <v>1</v>
      </c>
      <c r="AI36">
        <f t="shared" si="39"/>
        <v>32</v>
      </c>
      <c r="AJ36" s="15">
        <f t="shared" ca="1" si="25"/>
        <v>33.083333333333336</v>
      </c>
      <c r="AK36">
        <f t="shared" si="70"/>
        <v>97</v>
      </c>
      <c r="AL36">
        <f t="shared" si="40"/>
        <v>0</v>
      </c>
      <c r="AM36" s="3" t="str">
        <f t="shared" si="41"/>
        <v>D</v>
      </c>
      <c r="AN36">
        <f t="shared" si="71"/>
        <v>91</v>
      </c>
      <c r="AO36">
        <f t="shared" si="42"/>
        <v>1</v>
      </c>
      <c r="AP36" s="3" t="str">
        <f t="shared" si="28"/>
        <v/>
      </c>
      <c r="AQ36">
        <f t="shared" si="72"/>
        <v>50</v>
      </c>
      <c r="AR36" s="10">
        <f t="shared" si="43"/>
        <v>55519</v>
      </c>
      <c r="AS36">
        <f t="shared" si="73"/>
        <v>32</v>
      </c>
      <c r="AT36" s="30">
        <f t="shared" si="45"/>
        <v>3.3000000000000002E-2</v>
      </c>
      <c r="AU36" s="16">
        <f t="shared" ca="1" si="46"/>
        <v>7303494.7192883175</v>
      </c>
      <c r="AV36" s="1"/>
      <c r="AW36" s="1" t="str">
        <f t="shared" ca="1" si="47"/>
        <v/>
      </c>
      <c r="AX36" s="16">
        <f t="shared" si="4"/>
        <v>0</v>
      </c>
      <c r="AY36" s="16"/>
      <c r="AZ36" s="1">
        <f t="shared" si="57"/>
        <v>211259.98517084256</v>
      </c>
      <c r="BA36" s="16">
        <f t="shared" si="30"/>
        <v>0</v>
      </c>
      <c r="BB36" s="28">
        <f t="shared" si="48"/>
        <v>0</v>
      </c>
      <c r="BC36" s="16">
        <f t="shared" si="49"/>
        <v>27306.480358924295</v>
      </c>
      <c r="BD36" s="16">
        <f t="shared" si="50"/>
        <v>38103.782948959168</v>
      </c>
      <c r="BE36" s="16">
        <f t="shared" ca="1" si="51"/>
        <v>0</v>
      </c>
      <c r="BF36" s="16">
        <f t="shared" ca="1" si="31"/>
        <v>-29666.515347858571</v>
      </c>
      <c r="BG36" s="16">
        <f t="shared" ca="1" si="32"/>
        <v>65410.263307883462</v>
      </c>
      <c r="BH36" s="16">
        <f t="shared" si="5"/>
        <v>0</v>
      </c>
      <c r="BI36" s="16">
        <f t="shared" ca="1" si="33"/>
        <v>-175516.23721081766</v>
      </c>
      <c r="BJ36" s="16">
        <f t="shared" si="52"/>
        <v>0</v>
      </c>
      <c r="BK36" s="16">
        <f t="shared" ca="1" si="53"/>
        <v>64401.25136271026</v>
      </c>
      <c r="BL36" s="16">
        <f t="shared" ca="1" si="6"/>
        <v>8858377.4907225873</v>
      </c>
      <c r="BM36" s="16"/>
      <c r="BN36" s="16">
        <f t="shared" ca="1" si="34"/>
        <v>4120162.6061207373</v>
      </c>
      <c r="BQ36" s="16">
        <f t="shared" si="7"/>
        <v>40086.338698087304</v>
      </c>
      <c r="BS36" s="30">
        <f t="shared" ca="1" si="8"/>
        <v>2.479693124616509E-2</v>
      </c>
      <c r="BU36" s="30">
        <f t="shared" ca="1" si="35"/>
        <v>8.1751346434268957E-3</v>
      </c>
    </row>
    <row r="37" spans="1:73" x14ac:dyDescent="0.3">
      <c r="A37" s="36">
        <f t="shared" ca="1" si="0"/>
        <v>5522401.328989543</v>
      </c>
      <c r="B37" s="36">
        <f t="shared" ca="1" si="1"/>
        <v>1840800.442996514</v>
      </c>
      <c r="C37" s="36">
        <f t="shared" ca="1" si="54"/>
        <v>811646.88612388633</v>
      </c>
      <c r="D37" s="30">
        <f t="shared" ca="1" si="55"/>
        <v>0.63976984316634278</v>
      </c>
      <c r="E37" s="23">
        <f t="shared" ca="1" si="36"/>
        <v>3.3000000000000002E-2</v>
      </c>
      <c r="F37" s="30">
        <f t="shared" si="56"/>
        <v>3.3000000000000002E-2</v>
      </c>
      <c r="G37" s="23">
        <v>9.1</v>
      </c>
      <c r="H37" s="23">
        <f t="shared" si="69"/>
        <v>12</v>
      </c>
      <c r="I37" s="23">
        <f t="shared" si="62"/>
        <v>12</v>
      </c>
      <c r="J37" s="16">
        <f t="shared" ca="1" si="37"/>
        <v>392562.87023880472</v>
      </c>
      <c r="K37" s="16">
        <f t="shared" ca="1" si="2"/>
        <v>177142.03346840112</v>
      </c>
      <c r="L37" s="16">
        <f t="shared" ca="1" si="9"/>
        <v>33656.986358996211</v>
      </c>
      <c r="M37" s="23">
        <f t="shared" ca="1" si="63"/>
        <v>0.02</v>
      </c>
      <c r="N37" s="23">
        <f t="shared" ca="1" si="64"/>
        <v>0</v>
      </c>
      <c r="O37" s="23">
        <f t="shared" ca="1" si="65"/>
        <v>0</v>
      </c>
      <c r="P37" s="23">
        <f t="shared" ca="1" si="66"/>
        <v>0</v>
      </c>
      <c r="Q37" s="23">
        <f t="shared" ca="1" si="67"/>
        <v>0</v>
      </c>
      <c r="R37" s="30">
        <f t="shared" ca="1" si="68"/>
        <v>0.19</v>
      </c>
      <c r="S37" s="23">
        <f t="shared" si="61"/>
        <v>0</v>
      </c>
      <c r="T37" s="23">
        <f t="shared" si="17"/>
        <v>0</v>
      </c>
      <c r="V37" s="30">
        <f t="shared" si="38"/>
        <v>3.1999999999999984E-3</v>
      </c>
      <c r="W37" s="23">
        <f t="shared" si="59"/>
        <v>213349.93985532873</v>
      </c>
      <c r="X37">
        <f t="shared" si="18"/>
        <v>0</v>
      </c>
      <c r="Y37">
        <f t="shared" si="19"/>
        <v>0</v>
      </c>
      <c r="Z37">
        <f>(AZ$3-BC$2)*((1+AR$3)^AS36)*AN$1</f>
        <v>40086.338698087304</v>
      </c>
      <c r="AA37">
        <f>IF(MAX(AY$5:AY37)&gt;1,AA36+1,0)</f>
        <v>0</v>
      </c>
      <c r="AB37">
        <f>IF(MAX(AY$5:AY37)&gt;1,1,0)</f>
        <v>0</v>
      </c>
      <c r="AC37" t="str">
        <f t="shared" ca="1" si="3"/>
        <v>DECLINE</v>
      </c>
      <c r="AD37">
        <f t="shared" ca="1" si="21"/>
        <v>0</v>
      </c>
      <c r="AE37" s="23">
        <f t="shared" si="22"/>
        <v>0.85</v>
      </c>
      <c r="AF37">
        <f t="shared" ca="1" si="23"/>
        <v>1</v>
      </c>
      <c r="AH37">
        <f t="shared" si="24"/>
        <v>1</v>
      </c>
      <c r="AI37">
        <f t="shared" si="39"/>
        <v>33</v>
      </c>
      <c r="AJ37" s="15">
        <f t="shared" ca="1" si="25"/>
        <v>34.083333333333336</v>
      </c>
      <c r="AK37">
        <f t="shared" si="70"/>
        <v>98</v>
      </c>
      <c r="AL37">
        <f t="shared" si="40"/>
        <v>0</v>
      </c>
      <c r="AM37" s="3" t="str">
        <f t="shared" si="41"/>
        <v>D</v>
      </c>
      <c r="AN37">
        <f t="shared" si="71"/>
        <v>92</v>
      </c>
      <c r="AO37">
        <f t="shared" si="42"/>
        <v>1</v>
      </c>
      <c r="AP37" s="3" t="str">
        <f t="shared" si="28"/>
        <v/>
      </c>
      <c r="AQ37">
        <f t="shared" si="72"/>
        <v>51</v>
      </c>
      <c r="AR37" s="10">
        <f t="shared" si="43"/>
        <v>55885</v>
      </c>
      <c r="AS37">
        <f t="shared" si="73"/>
        <v>33</v>
      </c>
      <c r="AT37" s="30">
        <f t="shared" si="45"/>
        <v>3.3000000000000002E-2</v>
      </c>
      <c r="AU37" s="16">
        <f t="shared" ca="1" si="46"/>
        <v>7363201.7719860571</v>
      </c>
      <c r="AV37" s="1"/>
      <c r="AW37" s="1" t="str">
        <f t="shared" ca="1" si="47"/>
        <v/>
      </c>
      <c r="AX37" s="16">
        <f t="shared" si="4"/>
        <v>0</v>
      </c>
      <c r="AY37" s="16"/>
      <c r="AZ37" s="1">
        <f t="shared" si="57"/>
        <v>215420.83677040361</v>
      </c>
      <c r="BA37" s="16">
        <f t="shared" si="30"/>
        <v>0</v>
      </c>
      <c r="BB37" s="28">
        <f t="shared" si="48"/>
        <v>0</v>
      </c>
      <c r="BC37" s="16">
        <f t="shared" si="49"/>
        <v>27989.142367897399</v>
      </c>
      <c r="BD37" s="16">
        <f t="shared" si="50"/>
        <v>38503.872669923236</v>
      </c>
      <c r="BE37" s="16">
        <f t="shared" ca="1" si="51"/>
        <v>0</v>
      </c>
      <c r="BF37" s="16">
        <f t="shared" ca="1" si="31"/>
        <v>-33656.986358996211</v>
      </c>
      <c r="BG37" s="16">
        <f t="shared" ca="1" si="32"/>
        <v>66493.015037820631</v>
      </c>
      <c r="BH37" s="16">
        <f t="shared" si="5"/>
        <v>0</v>
      </c>
      <c r="BI37" s="16">
        <f t="shared" ca="1" si="33"/>
        <v>-182584.80809157921</v>
      </c>
      <c r="BJ37" s="16">
        <f t="shared" si="52"/>
        <v>0</v>
      </c>
      <c r="BK37" s="16">
        <f t="shared" ca="1" si="53"/>
        <v>59707.052697739564</v>
      </c>
      <c r="BL37" s="16">
        <f t="shared" ca="1" si="6"/>
        <v>8976392.6473491117</v>
      </c>
      <c r="BM37" s="16"/>
      <c r="BN37" s="16">
        <f t="shared" ca="1" si="34"/>
        <v>4073222.6378926244</v>
      </c>
      <c r="BQ37" s="16">
        <f t="shared" si="7"/>
        <v>41088.497165539484</v>
      </c>
      <c r="BS37" s="30">
        <f t="shared" ca="1" si="8"/>
        <v>2.5546662959830272E-2</v>
      </c>
      <c r="BU37" s="30">
        <f t="shared" ca="1" si="35"/>
        <v>7.3847700227114288E-3</v>
      </c>
    </row>
    <row r="38" spans="1:73" x14ac:dyDescent="0.3">
      <c r="A38" s="36">
        <f t="shared" ca="1" si="0"/>
        <v>5563182.992777247</v>
      </c>
      <c r="B38" s="36">
        <f t="shared" ca="1" si="1"/>
        <v>1854394.3309257487</v>
      </c>
      <c r="C38" s="36">
        <f t="shared" ca="1" si="54"/>
        <v>811646.88612388633</v>
      </c>
      <c r="D38" s="30">
        <f t="shared" ca="1" si="55"/>
        <v>0.64057790020870364</v>
      </c>
      <c r="E38" s="23">
        <f t="shared" ca="1" si="36"/>
        <v>3.3000000000000002E-2</v>
      </c>
      <c r="F38" s="30">
        <f t="shared" si="56"/>
        <v>3.3000000000000002E-2</v>
      </c>
      <c r="G38" s="23">
        <v>8.6</v>
      </c>
      <c r="H38" s="23">
        <f t="shared" si="69"/>
        <v>11.4</v>
      </c>
      <c r="I38" s="23">
        <f t="shared" si="62"/>
        <v>11.4</v>
      </c>
      <c r="J38" s="16">
        <f t="shared" ca="1" si="37"/>
        <v>416801.41286432988</v>
      </c>
      <c r="K38" s="16">
        <f t="shared" ca="1" si="2"/>
        <v>197172.87745328067</v>
      </c>
      <c r="L38" s="16">
        <f t="shared" ca="1" si="9"/>
        <v>37462.846716123327</v>
      </c>
      <c r="M38" s="23">
        <f t="shared" ca="1" si="63"/>
        <v>0.02</v>
      </c>
      <c r="N38" s="23">
        <f t="shared" ca="1" si="64"/>
        <v>0</v>
      </c>
      <c r="O38" s="23">
        <f t="shared" ca="1" si="65"/>
        <v>0</v>
      </c>
      <c r="P38" s="23">
        <f t="shared" ca="1" si="66"/>
        <v>0</v>
      </c>
      <c r="Q38" s="23">
        <f t="shared" ca="1" si="67"/>
        <v>0</v>
      </c>
      <c r="R38" s="30">
        <f t="shared" ca="1" si="68"/>
        <v>0.19</v>
      </c>
      <c r="S38" s="23">
        <f t="shared" si="61"/>
        <v>0</v>
      </c>
      <c r="T38" s="23">
        <f t="shared" si="17"/>
        <v>0</v>
      </c>
      <c r="V38" s="30">
        <f t="shared" si="38"/>
        <v>3.2999999999999982E-3</v>
      </c>
      <c r="W38" s="23">
        <f t="shared" si="59"/>
        <v>217298.0150827537</v>
      </c>
      <c r="X38">
        <f t="shared" si="18"/>
        <v>0</v>
      </c>
      <c r="Y38">
        <f t="shared" si="19"/>
        <v>0</v>
      </c>
      <c r="Z38">
        <f t="shared" si="20"/>
        <v>41088.497165539484</v>
      </c>
      <c r="AA38">
        <f>IF(MAX(AY$5:AY38)&gt;1,AA37+1,0)</f>
        <v>0</v>
      </c>
      <c r="AB38">
        <f>IF(MAX(AY$5:AY38)&gt;1,1,0)</f>
        <v>0</v>
      </c>
      <c r="AC38" t="str">
        <f t="shared" ca="1" si="3"/>
        <v>DECLINE</v>
      </c>
      <c r="AD38">
        <f t="shared" ca="1" si="21"/>
        <v>0</v>
      </c>
      <c r="AE38" s="23">
        <f t="shared" si="22"/>
        <v>0.85</v>
      </c>
      <c r="AF38">
        <f t="shared" ca="1" si="23"/>
        <v>1</v>
      </c>
      <c r="AH38">
        <f t="shared" si="24"/>
        <v>1</v>
      </c>
      <c r="AI38">
        <f t="shared" si="39"/>
        <v>34</v>
      </c>
      <c r="AJ38" s="15">
        <f t="shared" ca="1" si="25"/>
        <v>35.083333333333336</v>
      </c>
      <c r="AK38">
        <f t="shared" si="70"/>
        <v>99</v>
      </c>
      <c r="AL38">
        <f t="shared" si="40"/>
        <v>0</v>
      </c>
      <c r="AM38" s="3" t="str">
        <f t="shared" si="41"/>
        <v>D</v>
      </c>
      <c r="AN38">
        <f t="shared" si="71"/>
        <v>93</v>
      </c>
      <c r="AO38">
        <f t="shared" si="42"/>
        <v>1</v>
      </c>
      <c r="AP38" s="3" t="str">
        <f t="shared" si="28"/>
        <v/>
      </c>
      <c r="AQ38">
        <f t="shared" si="72"/>
        <v>52</v>
      </c>
      <c r="AR38" s="10">
        <f t="shared" si="43"/>
        <v>56250</v>
      </c>
      <c r="AS38">
        <f t="shared" si="73"/>
        <v>34</v>
      </c>
      <c r="AT38" s="30">
        <f t="shared" si="45"/>
        <v>3.3000000000000002E-2</v>
      </c>
      <c r="AU38" s="16">
        <f t="shared" ca="1" si="46"/>
        <v>7417577.3237029957</v>
      </c>
      <c r="AV38" s="1"/>
      <c r="AW38" s="1" t="str">
        <f t="shared" ca="1" si="47"/>
        <v/>
      </c>
      <c r="AX38" s="16">
        <f t="shared" si="4"/>
        <v>0</v>
      </c>
      <c r="AY38" s="16"/>
      <c r="AZ38" s="1">
        <f t="shared" si="57"/>
        <v>219628.5354110492</v>
      </c>
      <c r="BA38" s="16">
        <f t="shared" si="30"/>
        <v>0</v>
      </c>
      <c r="BB38" s="28">
        <f t="shared" si="48"/>
        <v>0</v>
      </c>
      <c r="BC38" s="16">
        <f t="shared" si="49"/>
        <v>28688.870927094831</v>
      </c>
      <c r="BD38" s="16">
        <f t="shared" si="50"/>
        <v>38908.163332957425</v>
      </c>
      <c r="BE38" s="16">
        <f t="shared" ca="1" si="51"/>
        <v>0</v>
      </c>
      <c r="BF38" s="16">
        <f t="shared" ca="1" si="31"/>
        <v>-37462.846716123327</v>
      </c>
      <c r="BG38" s="16">
        <f t="shared" ca="1" si="32"/>
        <v>67597.034260052256</v>
      </c>
      <c r="BH38" s="16">
        <f t="shared" si="5"/>
        <v>0</v>
      </c>
      <c r="BI38" s="16">
        <f t="shared" ca="1" si="33"/>
        <v>-189494.34786712029</v>
      </c>
      <c r="BJ38" s="16">
        <f t="shared" si="52"/>
        <v>0</v>
      </c>
      <c r="BK38" s="16">
        <f t="shared" ca="1" si="53"/>
        <v>54375.551716938615</v>
      </c>
      <c r="BL38" s="16">
        <f t="shared" ca="1" si="6"/>
        <v>9091262.8568921667</v>
      </c>
      <c r="BM38" s="16"/>
      <c r="BN38" s="16">
        <f t="shared" ca="1" si="34"/>
        <v>4024729.1279750862</v>
      </c>
      <c r="BQ38" s="16">
        <f t="shared" si="7"/>
        <v>42115.709594677974</v>
      </c>
      <c r="BS38" s="30">
        <f ca="1">(BI39*-1)/AU39</f>
        <v>2.6365517567996877E-2</v>
      </c>
      <c r="BU38" s="30">
        <f t="shared" ca="1" si="35"/>
        <v>6.6102971624952822E-3</v>
      </c>
    </row>
    <row r="39" spans="1:73" x14ac:dyDescent="0.3">
      <c r="A39" s="36">
        <f t="shared" ca="1" si="0"/>
        <v>5599957.2855288442</v>
      </c>
      <c r="B39" s="36">
        <f t="shared" ca="1" si="1"/>
        <v>1866652.4285096144</v>
      </c>
      <c r="C39" s="36">
        <f t="shared" ca="1" si="54"/>
        <v>811646.88612388633</v>
      </c>
      <c r="D39" s="30">
        <f t="shared" ca="1" si="55"/>
        <v>0.64129646289160447</v>
      </c>
      <c r="E39" s="23">
        <f t="shared" ca="1" si="36"/>
        <v>3.3000000000000002E-2</v>
      </c>
      <c r="F39" s="30">
        <f t="shared" si="56"/>
        <v>3.3000000000000002E-2</v>
      </c>
      <c r="G39" s="23">
        <v>8.1</v>
      </c>
      <c r="H39" s="23">
        <f t="shared" si="69"/>
        <v>10.8</v>
      </c>
      <c r="I39" s="23">
        <f t="shared" si="62"/>
        <v>10.8</v>
      </c>
      <c r="J39" s="16">
        <f t="shared" ca="1" si="37"/>
        <v>443362.07401897752</v>
      </c>
      <c r="K39" s="16">
        <f t="shared" ca="1" si="2"/>
        <v>219479.3242986355</v>
      </c>
      <c r="L39" s="16">
        <f t="shared" ca="1" si="9"/>
        <v>41701.071616740745</v>
      </c>
      <c r="M39" s="23">
        <f t="shared" ca="1" si="63"/>
        <v>0.02</v>
      </c>
      <c r="N39" s="23">
        <f t="shared" ca="1" si="64"/>
        <v>0</v>
      </c>
      <c r="O39" s="23">
        <f t="shared" ca="1" si="65"/>
        <v>0</v>
      </c>
      <c r="P39" s="23">
        <f t="shared" ca="1" si="66"/>
        <v>0</v>
      </c>
      <c r="Q39" s="23">
        <f t="shared" ca="1" si="67"/>
        <v>0</v>
      </c>
      <c r="R39" s="30">
        <f t="shared" ca="1" si="68"/>
        <v>0.19</v>
      </c>
      <c r="S39" s="23">
        <f t="shared" si="61"/>
        <v>0</v>
      </c>
      <c r="T39" s="23">
        <f t="shared" si="17"/>
        <v>0</v>
      </c>
      <c r="V39" s="30">
        <f t="shared" si="38"/>
        <v>3.3999999999999981E-3</v>
      </c>
      <c r="W39" s="23">
        <f t="shared" si="59"/>
        <v>221275.76066454797</v>
      </c>
      <c r="X39">
        <f t="shared" si="18"/>
        <v>0</v>
      </c>
      <c r="Y39">
        <f t="shared" si="19"/>
        <v>0</v>
      </c>
      <c r="Z39">
        <f t="shared" si="20"/>
        <v>42115.709594677974</v>
      </c>
      <c r="AA39">
        <f>IF(MAX(AY$5:AY39)&gt;1,AA38+1,0)</f>
        <v>0</v>
      </c>
      <c r="AB39">
        <f>IF(MAX(AY$5:AY39)&gt;1,1,0)</f>
        <v>0</v>
      </c>
      <c r="AC39" t="str">
        <f t="shared" ca="1" si="3"/>
        <v>DECLINE</v>
      </c>
      <c r="AD39">
        <f t="shared" ca="1" si="21"/>
        <v>0</v>
      </c>
      <c r="AE39" s="23">
        <f t="shared" si="22"/>
        <v>0.85</v>
      </c>
      <c r="AF39">
        <f t="shared" ca="1" si="23"/>
        <v>1</v>
      </c>
      <c r="AH39">
        <f t="shared" si="24"/>
        <v>1</v>
      </c>
      <c r="AI39">
        <f t="shared" si="39"/>
        <v>35</v>
      </c>
      <c r="AJ39" s="15">
        <f t="shared" ca="1" si="25"/>
        <v>36.083333333333336</v>
      </c>
      <c r="AK39">
        <f t="shared" si="70"/>
        <v>100</v>
      </c>
      <c r="AL39">
        <f t="shared" si="40"/>
        <v>0</v>
      </c>
      <c r="AM39" s="3" t="str">
        <f t="shared" si="41"/>
        <v>D</v>
      </c>
      <c r="AN39">
        <f t="shared" si="71"/>
        <v>94</v>
      </c>
      <c r="AO39">
        <f t="shared" si="42"/>
        <v>1</v>
      </c>
      <c r="AP39" s="3" t="str">
        <f t="shared" si="28"/>
        <v/>
      </c>
      <c r="AQ39">
        <f t="shared" si="72"/>
        <v>53</v>
      </c>
      <c r="AR39" s="10">
        <f t="shared" si="43"/>
        <v>56615</v>
      </c>
      <c r="AS39">
        <f t="shared" si="73"/>
        <v>35</v>
      </c>
      <c r="AT39" s="30">
        <f t="shared" si="45"/>
        <v>3.3000000000000002E-2</v>
      </c>
      <c r="AU39" s="16">
        <f t="shared" ca="1" si="46"/>
        <v>7466609.7140384587</v>
      </c>
      <c r="AV39" s="1"/>
      <c r="AW39" s="1" t="str">
        <f t="shared" ca="1" si="47"/>
        <v/>
      </c>
      <c r="AX39" s="16">
        <f t="shared" si="4"/>
        <v>0</v>
      </c>
      <c r="AY39" s="16"/>
      <c r="AZ39" s="1">
        <f t="shared" si="57"/>
        <v>223882.74972034202</v>
      </c>
      <c r="BA39" s="16">
        <f t="shared" si="30"/>
        <v>0</v>
      </c>
      <c r="BB39" s="28">
        <f t="shared" si="48"/>
        <v>0</v>
      </c>
      <c r="BC39" s="16">
        <f t="shared" si="49"/>
        <v>29406.092700272198</v>
      </c>
      <c r="BD39" s="16">
        <f t="shared" si="50"/>
        <v>39316.69904795348</v>
      </c>
      <c r="BE39" s="16">
        <f t="shared" ca="1" si="51"/>
        <v>0</v>
      </c>
      <c r="BF39" s="16">
        <f t="shared" ca="1" si="31"/>
        <v>-41701.071616740745</v>
      </c>
      <c r="BG39" s="16">
        <f t="shared" ca="1" si="32"/>
        <v>68722.791748225674</v>
      </c>
      <c r="BH39" s="16">
        <f t="shared" si="5"/>
        <v>0</v>
      </c>
      <c r="BI39" s="16">
        <f ca="1">(AZ39-BG39+L39)*-1</f>
        <v>-196861.02958885711</v>
      </c>
      <c r="BJ39" s="16">
        <f t="shared" si="52"/>
        <v>0</v>
      </c>
      <c r="BK39" s="16">
        <f t="shared" ca="1" si="53"/>
        <v>49032.390335462987</v>
      </c>
      <c r="BL39" s="16">
        <f t="shared" ca="1" si="6"/>
        <v>9203058.4547222238</v>
      </c>
      <c r="BM39" s="16"/>
      <c r="BN39" s="16">
        <f t="shared" ca="1" si="34"/>
        <v>3974850.1189340414</v>
      </c>
      <c r="BQ39" s="16">
        <f>Y40+Z40</f>
        <v>43168.602334544914</v>
      </c>
      <c r="BS39" s="30">
        <f t="shared" ca="1" si="8"/>
        <v>0</v>
      </c>
      <c r="BU39" s="30">
        <f t="shared" ca="1" si="35"/>
        <v>5.7644203522591031E-3</v>
      </c>
    </row>
    <row r="40" spans="1:73" x14ac:dyDescent="0.3">
      <c r="A40" s="36">
        <f t="shared" ca="1" si="0"/>
        <v>5632237.7932773288</v>
      </c>
      <c r="B40" s="36">
        <f t="shared" ca="1" si="1"/>
        <v>1877412.597759109</v>
      </c>
      <c r="C40" s="36">
        <f t="shared" ca="1" si="54"/>
        <v>811646.88612388633</v>
      </c>
      <c r="D40" s="30">
        <f t="shared" ca="1" si="55"/>
        <v>0.64191948441532354</v>
      </c>
      <c r="E40" s="23">
        <f t="shared" ca="1" si="36"/>
        <v>3.3000000000000002E-2</v>
      </c>
      <c r="F40" s="30">
        <f t="shared" si="56"/>
        <v>3.3000000000000002E-2</v>
      </c>
      <c r="G40" s="23">
        <v>7.6</v>
      </c>
      <c r="H40" s="23">
        <f t="shared" si="69"/>
        <v>10.199999999999999</v>
      </c>
      <c r="I40" s="23">
        <f t="shared" si="62"/>
        <v>0</v>
      </c>
      <c r="J40" s="16">
        <f t="shared" si="37"/>
        <v>0</v>
      </c>
      <c r="K40" s="16">
        <f t="shared" si="2"/>
        <v>0</v>
      </c>
      <c r="L40" s="16">
        <f t="shared" si="9"/>
        <v>0</v>
      </c>
      <c r="M40" s="23">
        <f t="shared" si="63"/>
        <v>0</v>
      </c>
      <c r="N40" s="23">
        <f t="shared" si="64"/>
        <v>0</v>
      </c>
      <c r="O40" s="23">
        <f t="shared" si="65"/>
        <v>0</v>
      </c>
      <c r="P40" s="23">
        <f t="shared" si="66"/>
        <v>0</v>
      </c>
      <c r="Q40" s="23">
        <f t="shared" si="67"/>
        <v>0</v>
      </c>
      <c r="R40" s="30">
        <f t="shared" si="68"/>
        <v>0.17</v>
      </c>
      <c r="S40" s="23">
        <f t="shared" si="61"/>
        <v>0</v>
      </c>
      <c r="T40" s="23">
        <f t="shared" si="17"/>
        <v>0</v>
      </c>
      <c r="V40" s="30">
        <f t="shared" si="38"/>
        <v>3.4999999999999979E-3</v>
      </c>
      <c r="W40" s="23">
        <f t="shared" si="59"/>
        <v>225282.13929970292</v>
      </c>
      <c r="X40">
        <f t="shared" si="18"/>
        <v>0</v>
      </c>
      <c r="Y40">
        <f t="shared" si="19"/>
        <v>0</v>
      </c>
      <c r="Z40">
        <f t="shared" si="20"/>
        <v>43168.602334544914</v>
      </c>
      <c r="AA40">
        <f>IF(MAX(AY$5:AY40)&gt;1,AA39+1,0)</f>
        <v>0</v>
      </c>
      <c r="AB40">
        <f>IF(MAX(AY$5:AY40)&gt;1,1,0)</f>
        <v>0</v>
      </c>
      <c r="AC40" t="str">
        <f t="shared" ca="1" si="3"/>
        <v>DECLINE</v>
      </c>
      <c r="AD40">
        <f t="shared" ca="1" si="21"/>
        <v>0</v>
      </c>
      <c r="AE40" s="23">
        <f t="shared" si="22"/>
        <v>0.85</v>
      </c>
      <c r="AF40">
        <f t="shared" ca="1" si="23"/>
        <v>1</v>
      </c>
      <c r="AH40">
        <f t="shared" si="24"/>
        <v>0</v>
      </c>
      <c r="AI40">
        <f t="shared" si="39"/>
        <v>36</v>
      </c>
      <c r="AJ40" s="15">
        <f t="shared" ca="1" si="25"/>
        <v>37.083333333333336</v>
      </c>
      <c r="AK40">
        <f t="shared" si="70"/>
        <v>101</v>
      </c>
      <c r="AL40">
        <f t="shared" si="40"/>
        <v>0</v>
      </c>
      <c r="AM40" s="3" t="str">
        <f t="shared" si="41"/>
        <v>D</v>
      </c>
      <c r="AN40">
        <f t="shared" si="71"/>
        <v>95</v>
      </c>
      <c r="AO40">
        <f t="shared" si="42"/>
        <v>0</v>
      </c>
      <c r="AP40" s="3" t="str">
        <f t="shared" si="28"/>
        <v>D</v>
      </c>
      <c r="AQ40">
        <f t="shared" si="72"/>
        <v>54</v>
      </c>
      <c r="AR40" s="10">
        <f t="shared" si="43"/>
        <v>56980</v>
      </c>
      <c r="AS40">
        <f t="shared" si="73"/>
        <v>36</v>
      </c>
      <c r="AT40" s="30">
        <f t="shared" si="45"/>
        <v>3.3000000000000002E-2</v>
      </c>
      <c r="AU40" s="16">
        <f t="shared" ca="1" si="46"/>
        <v>7509650.3910364378</v>
      </c>
      <c r="AV40" s="1"/>
      <c r="AW40" s="1" t="str">
        <f t="shared" ca="1" si="47"/>
        <v/>
      </c>
      <c r="AX40" s="16">
        <f t="shared" si="4"/>
        <v>0</v>
      </c>
      <c r="AY40" s="16"/>
      <c r="AZ40" s="1">
        <f t="shared" si="57"/>
        <v>0</v>
      </c>
      <c r="BA40" s="16">
        <f t="shared" si="30"/>
        <v>0</v>
      </c>
      <c r="BB40" s="28">
        <f t="shared" si="48"/>
        <v>0</v>
      </c>
      <c r="BC40" s="16">
        <f t="shared" si="49"/>
        <v>0</v>
      </c>
      <c r="BD40" s="16">
        <f t="shared" si="50"/>
        <v>0</v>
      </c>
      <c r="BE40" s="16">
        <f t="shared" ca="1" si="51"/>
        <v>0</v>
      </c>
      <c r="BF40" s="16">
        <f t="shared" si="31"/>
        <v>0</v>
      </c>
      <c r="BG40" s="16">
        <f t="shared" ca="1" si="32"/>
        <v>0</v>
      </c>
      <c r="BH40" s="16">
        <f t="shared" si="5"/>
        <v>0</v>
      </c>
      <c r="BI40" s="16">
        <f t="shared" ca="1" si="33"/>
        <v>0</v>
      </c>
      <c r="BJ40" s="16">
        <f t="shared" si="52"/>
        <v>0</v>
      </c>
      <c r="BK40" s="16">
        <f t="shared" ca="1" si="53"/>
        <v>43040.676997979172</v>
      </c>
      <c r="BL40" s="16">
        <f t="shared" ca="1" si="6"/>
        <v>9311215.9594958443</v>
      </c>
      <c r="BM40" s="16"/>
      <c r="BN40" s="16">
        <f t="shared" ca="1" si="34"/>
        <v>3923476.9981814595</v>
      </c>
      <c r="BQ40" s="16">
        <f t="shared" si="7"/>
        <v>0</v>
      </c>
      <c r="BS40" s="30"/>
    </row>
  </sheetData>
  <conditionalFormatting sqref="AU6:AU40">
    <cfRule type="expression" dxfId="5" priority="5">
      <formula>$AU6&lt;0</formula>
    </cfRule>
  </conditionalFormatting>
  <conditionalFormatting sqref="AW5:AW40">
    <cfRule type="expression" dxfId="4" priority="4">
      <formula>$BL5&lt;0</formula>
    </cfRule>
  </conditionalFormatting>
  <conditionalFormatting sqref="AQ5:AQ40">
    <cfRule type="expression" dxfId="3" priority="1">
      <formula>AND(AQ5&gt;=17,AQ5&lt;22)</formula>
    </cfRule>
  </conditionalFormatting>
  <pageMargins left="0.7" right="0.7" top="0.75" bottom="0.75" header="0.3" footer="0.3"/>
  <pageSetup orientation="portrait" r:id="rId1"/>
  <ignoredErrors>
    <ignoredError sqref="AR6:AR40 AJ6:AJ12 AJ13:AJ40" formula="1"/>
    <ignoredError sqref="AA11:AA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paul-mobil</cp:lastModifiedBy>
  <dcterms:created xsi:type="dcterms:W3CDTF">2015-02-27T13:43:30Z</dcterms:created>
  <dcterms:modified xsi:type="dcterms:W3CDTF">2018-11-28T12:30:43Z</dcterms:modified>
</cp:coreProperties>
</file>