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tl\FTP\FLORIDA\"/>
    </mc:Choice>
  </mc:AlternateContent>
  <xr:revisionPtr revIDLastSave="0" documentId="13_ncr:1_{DAC7406F-3D87-49D4-A001-936F6D61C5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61" i="1" l="1"/>
  <c r="P561" i="1"/>
  <c r="R561" i="1" s="1"/>
  <c r="Y561" i="1" s="1"/>
  <c r="D633" i="1"/>
  <c r="B633" i="1"/>
  <c r="AR632" i="1"/>
  <c r="AQ632" i="1"/>
  <c r="AP632" i="1"/>
  <c r="AO632" i="1"/>
  <c r="AM632" i="1"/>
  <c r="AL632" i="1"/>
  <c r="AK632" i="1"/>
  <c r="AJ632" i="1"/>
  <c r="AF632" i="1"/>
  <c r="AB632" i="1"/>
  <c r="AA632" i="1"/>
  <c r="Y632" i="1"/>
  <c r="V632" i="1"/>
  <c r="U632" i="1" s="1"/>
  <c r="AD632" i="1" s="1"/>
  <c r="AH632" i="1" s="1"/>
  <c r="AG632" i="1" s="1"/>
  <c r="G632" i="1"/>
  <c r="F632" i="1"/>
  <c r="AR631" i="1"/>
  <c r="AQ631" i="1"/>
  <c r="AP631" i="1"/>
  <c r="AO631" i="1"/>
  <c r="AM631" i="1"/>
  <c r="AL631" i="1"/>
  <c r="AK631" i="1"/>
  <c r="AJ631" i="1"/>
  <c r="AF631" i="1"/>
  <c r="AB631" i="1"/>
  <c r="AA631" i="1"/>
  <c r="Y631" i="1"/>
  <c r="V631" i="1"/>
  <c r="U631" i="1"/>
  <c r="AD631" i="1" s="1"/>
  <c r="AH631" i="1" s="1"/>
  <c r="AG631" i="1" s="1"/>
  <c r="F631" i="1"/>
  <c r="G631" i="1" s="1"/>
  <c r="AR630" i="1"/>
  <c r="AQ630" i="1"/>
  <c r="AP630" i="1"/>
  <c r="AO630" i="1"/>
  <c r="AM630" i="1"/>
  <c r="AL630" i="1"/>
  <c r="AK630" i="1"/>
  <c r="AJ630" i="1"/>
  <c r="AF630" i="1"/>
  <c r="AB630" i="1"/>
  <c r="AA630" i="1"/>
  <c r="Y630" i="1"/>
  <c r="V630" i="1"/>
  <c r="U630" i="1" s="1"/>
  <c r="AD630" i="1" s="1"/>
  <c r="AH630" i="1" s="1"/>
  <c r="AG630" i="1" s="1"/>
  <c r="F630" i="1"/>
  <c r="G630" i="1" s="1"/>
  <c r="AR629" i="1"/>
  <c r="AQ629" i="1"/>
  <c r="AP629" i="1"/>
  <c r="AO629" i="1"/>
  <c r="AM629" i="1"/>
  <c r="AL629" i="1"/>
  <c r="AK629" i="1"/>
  <c r="AJ629" i="1"/>
  <c r="AF629" i="1"/>
  <c r="AB629" i="1"/>
  <c r="AA629" i="1"/>
  <c r="Y629" i="1"/>
  <c r="V629" i="1"/>
  <c r="U629" i="1" s="1"/>
  <c r="AD629" i="1" s="1"/>
  <c r="AH629" i="1" s="1"/>
  <c r="AG629" i="1" s="1"/>
  <c r="F629" i="1"/>
  <c r="G629" i="1" s="1"/>
  <c r="AR628" i="1"/>
  <c r="AQ628" i="1"/>
  <c r="AP628" i="1"/>
  <c r="AO628" i="1"/>
  <c r="AM628" i="1"/>
  <c r="AL628" i="1"/>
  <c r="AK628" i="1"/>
  <c r="AJ628" i="1"/>
  <c r="AF628" i="1"/>
  <c r="AB628" i="1"/>
  <c r="AA628" i="1"/>
  <c r="Y628" i="1"/>
  <c r="V628" i="1"/>
  <c r="U628" i="1" s="1"/>
  <c r="AD628" i="1" s="1"/>
  <c r="AH628" i="1" s="1"/>
  <c r="AG628" i="1" s="1"/>
  <c r="F628" i="1"/>
  <c r="G628" i="1" s="1"/>
  <c r="AR627" i="1"/>
  <c r="AQ627" i="1"/>
  <c r="AP627" i="1"/>
  <c r="AO627" i="1"/>
  <c r="AM627" i="1"/>
  <c r="AL627" i="1"/>
  <c r="AK627" i="1"/>
  <c r="AJ627" i="1"/>
  <c r="AF627" i="1"/>
  <c r="AB627" i="1"/>
  <c r="AA627" i="1"/>
  <c r="Y627" i="1"/>
  <c r="V627" i="1"/>
  <c r="U627" i="1" s="1"/>
  <c r="AD627" i="1" s="1"/>
  <c r="AH627" i="1" s="1"/>
  <c r="AG627" i="1" s="1"/>
  <c r="AR626" i="1"/>
  <c r="AQ626" i="1"/>
  <c r="AP626" i="1"/>
  <c r="AO626" i="1"/>
  <c r="AM626" i="1"/>
  <c r="AL626" i="1"/>
  <c r="AK626" i="1"/>
  <c r="AJ626" i="1"/>
  <c r="AF626" i="1"/>
  <c r="AB626" i="1"/>
  <c r="AA626" i="1"/>
  <c r="Y626" i="1"/>
  <c r="V626" i="1"/>
  <c r="U626" i="1" s="1"/>
  <c r="AD626" i="1" s="1"/>
  <c r="AH626" i="1" s="1"/>
  <c r="AG626" i="1" s="1"/>
  <c r="AR625" i="1"/>
  <c r="AQ625" i="1"/>
  <c r="AP625" i="1"/>
  <c r="AO625" i="1"/>
  <c r="AM625" i="1"/>
  <c r="AL625" i="1"/>
  <c r="AK625" i="1"/>
  <c r="AJ625" i="1"/>
  <c r="AF625" i="1"/>
  <c r="AB625" i="1"/>
  <c r="AA625" i="1"/>
  <c r="Y625" i="1"/>
  <c r="V625" i="1"/>
  <c r="U625" i="1" s="1"/>
  <c r="AD625" i="1" s="1"/>
  <c r="AH625" i="1" s="1"/>
  <c r="AG625" i="1" s="1"/>
  <c r="AR624" i="1"/>
  <c r="AQ624" i="1"/>
  <c r="AP624" i="1"/>
  <c r="AO624" i="1"/>
  <c r="AM624" i="1"/>
  <c r="AL624" i="1"/>
  <c r="AK624" i="1"/>
  <c r="AJ624" i="1"/>
  <c r="AF624" i="1"/>
  <c r="AB624" i="1"/>
  <c r="AA624" i="1"/>
  <c r="Y624" i="1"/>
  <c r="V624" i="1"/>
  <c r="U624" i="1" s="1"/>
  <c r="AD624" i="1" s="1"/>
  <c r="AH624" i="1" s="1"/>
  <c r="AG624" i="1" s="1"/>
  <c r="AR623" i="1"/>
  <c r="AQ623" i="1"/>
  <c r="AP623" i="1"/>
  <c r="AO623" i="1"/>
  <c r="AM623" i="1"/>
  <c r="AL623" i="1"/>
  <c r="AK623" i="1"/>
  <c r="AJ623" i="1"/>
  <c r="AF623" i="1"/>
  <c r="AB623" i="1"/>
  <c r="AA623" i="1"/>
  <c r="Y623" i="1"/>
  <c r="V623" i="1"/>
  <c r="U623" i="1"/>
  <c r="AD623" i="1" s="1"/>
  <c r="AH623" i="1" s="1"/>
  <c r="AG623" i="1" s="1"/>
  <c r="AR622" i="1"/>
  <c r="AQ622" i="1"/>
  <c r="AP622" i="1"/>
  <c r="AO622" i="1"/>
  <c r="AM622" i="1"/>
  <c r="AL622" i="1"/>
  <c r="AK622" i="1"/>
  <c r="AJ622" i="1"/>
  <c r="AF622" i="1"/>
  <c r="AB622" i="1"/>
  <c r="AA622" i="1"/>
  <c r="Y622" i="1"/>
  <c r="V622" i="1"/>
  <c r="U622" i="1" s="1"/>
  <c r="AD622" i="1" s="1"/>
  <c r="AH622" i="1" s="1"/>
  <c r="AG622" i="1" s="1"/>
  <c r="AR621" i="1"/>
  <c r="AQ621" i="1"/>
  <c r="AP621" i="1"/>
  <c r="AO621" i="1"/>
  <c r="AM621" i="1"/>
  <c r="AL621" i="1"/>
  <c r="AK621" i="1"/>
  <c r="AJ621" i="1"/>
  <c r="AF621" i="1"/>
  <c r="AB621" i="1"/>
  <c r="AA621" i="1"/>
  <c r="Y621" i="1"/>
  <c r="V621" i="1"/>
  <c r="U621" i="1" s="1"/>
  <c r="AD621" i="1" s="1"/>
  <c r="AH621" i="1" s="1"/>
  <c r="AG621" i="1" s="1"/>
  <c r="AR620" i="1"/>
  <c r="AQ620" i="1"/>
  <c r="AP620" i="1"/>
  <c r="AO620" i="1"/>
  <c r="AM620" i="1"/>
  <c r="AL620" i="1"/>
  <c r="AK620" i="1"/>
  <c r="AJ620" i="1"/>
  <c r="AF620" i="1"/>
  <c r="AB620" i="1"/>
  <c r="AA620" i="1"/>
  <c r="Y620" i="1"/>
  <c r="V620" i="1"/>
  <c r="U620" i="1"/>
  <c r="AD620" i="1" s="1"/>
  <c r="AH620" i="1" s="1"/>
  <c r="AG620" i="1" s="1"/>
  <c r="AR619" i="1"/>
  <c r="AQ619" i="1"/>
  <c r="AP619" i="1"/>
  <c r="AO619" i="1"/>
  <c r="AM619" i="1"/>
  <c r="AL619" i="1"/>
  <c r="AK619" i="1"/>
  <c r="AJ619" i="1"/>
  <c r="AH619" i="1"/>
  <c r="AG619" i="1" s="1"/>
  <c r="AF619" i="1"/>
  <c r="AD619" i="1"/>
  <c r="AB619" i="1"/>
  <c r="AA619" i="1"/>
  <c r="Y619" i="1"/>
  <c r="V619" i="1"/>
  <c r="U619" i="1"/>
  <c r="AR618" i="1"/>
  <c r="AQ618" i="1"/>
  <c r="AP618" i="1"/>
  <c r="AO618" i="1"/>
  <c r="AM618" i="1"/>
  <c r="AL618" i="1"/>
  <c r="AK618" i="1"/>
  <c r="AJ618" i="1"/>
  <c r="AF618" i="1"/>
  <c r="AB618" i="1"/>
  <c r="AA618" i="1"/>
  <c r="Y618" i="1"/>
  <c r="V618" i="1"/>
  <c r="U618" i="1" s="1"/>
  <c r="AD618" i="1" s="1"/>
  <c r="AH618" i="1" s="1"/>
  <c r="AG618" i="1" s="1"/>
  <c r="AR617" i="1"/>
  <c r="AQ617" i="1"/>
  <c r="AP617" i="1"/>
  <c r="AO617" i="1"/>
  <c r="AM617" i="1"/>
  <c r="AL617" i="1"/>
  <c r="AK617" i="1"/>
  <c r="AJ617" i="1"/>
  <c r="AF617" i="1"/>
  <c r="AB617" i="1"/>
  <c r="AA617" i="1"/>
  <c r="Y617" i="1"/>
  <c r="V617" i="1"/>
  <c r="U617" i="1"/>
  <c r="AD617" i="1" s="1"/>
  <c r="AH617" i="1" s="1"/>
  <c r="AG617" i="1" s="1"/>
  <c r="AR616" i="1"/>
  <c r="AQ616" i="1"/>
  <c r="AP616" i="1"/>
  <c r="AO616" i="1"/>
  <c r="AM616" i="1"/>
  <c r="AL616" i="1"/>
  <c r="AK616" i="1"/>
  <c r="AJ616" i="1"/>
  <c r="AF616" i="1"/>
  <c r="AB616" i="1"/>
  <c r="AA616" i="1"/>
  <c r="Y616" i="1"/>
  <c r="V616" i="1"/>
  <c r="U616" i="1"/>
  <c r="AD616" i="1" s="1"/>
  <c r="AH616" i="1" s="1"/>
  <c r="AG616" i="1" s="1"/>
  <c r="G616" i="1"/>
  <c r="F616" i="1"/>
  <c r="AR615" i="1"/>
  <c r="AQ615" i="1"/>
  <c r="AP615" i="1"/>
  <c r="AO615" i="1"/>
  <c r="AM615" i="1"/>
  <c r="AL615" i="1"/>
  <c r="AK615" i="1"/>
  <c r="AJ615" i="1"/>
  <c r="AF615" i="1"/>
  <c r="AB615" i="1"/>
  <c r="AA615" i="1"/>
  <c r="Y615" i="1"/>
  <c r="V615" i="1"/>
  <c r="U615" i="1"/>
  <c r="AD615" i="1" s="1"/>
  <c r="AH615" i="1" s="1"/>
  <c r="AG615" i="1" s="1"/>
  <c r="F615" i="1"/>
  <c r="G615" i="1" s="1"/>
  <c r="AR614" i="1"/>
  <c r="AQ614" i="1"/>
  <c r="AP614" i="1"/>
  <c r="AO614" i="1"/>
  <c r="AM614" i="1"/>
  <c r="AL614" i="1"/>
  <c r="AK614" i="1"/>
  <c r="AJ614" i="1"/>
  <c r="AF614" i="1"/>
  <c r="AB614" i="1"/>
  <c r="AA614" i="1"/>
  <c r="Y614" i="1"/>
  <c r="V614" i="1"/>
  <c r="U614" i="1" s="1"/>
  <c r="AD614" i="1" s="1"/>
  <c r="AH614" i="1" s="1"/>
  <c r="AG614" i="1" s="1"/>
  <c r="AR613" i="1"/>
  <c r="AQ613" i="1"/>
  <c r="AP613" i="1"/>
  <c r="AO613" i="1"/>
  <c r="AM613" i="1"/>
  <c r="AL613" i="1"/>
  <c r="AK613" i="1"/>
  <c r="AJ613" i="1"/>
  <c r="AF613" i="1"/>
  <c r="AB613" i="1"/>
  <c r="AA613" i="1"/>
  <c r="Y613" i="1"/>
  <c r="V613" i="1"/>
  <c r="U613" i="1"/>
  <c r="AD613" i="1" s="1"/>
  <c r="AH613" i="1" s="1"/>
  <c r="AG613" i="1" s="1"/>
  <c r="AR612" i="1"/>
  <c r="AQ612" i="1"/>
  <c r="AP612" i="1"/>
  <c r="AO612" i="1"/>
  <c r="AM612" i="1"/>
  <c r="AL612" i="1"/>
  <c r="AK612" i="1"/>
  <c r="AJ612" i="1"/>
  <c r="AF612" i="1"/>
  <c r="AB612" i="1"/>
  <c r="AA612" i="1"/>
  <c r="Y612" i="1"/>
  <c r="V612" i="1"/>
  <c r="U612" i="1"/>
  <c r="AD612" i="1" s="1"/>
  <c r="AH612" i="1" s="1"/>
  <c r="AG612" i="1" s="1"/>
  <c r="AR611" i="1"/>
  <c r="AQ611" i="1"/>
  <c r="AP611" i="1"/>
  <c r="AO611" i="1"/>
  <c r="AM611" i="1"/>
  <c r="AL611" i="1"/>
  <c r="AK611" i="1"/>
  <c r="AJ611" i="1"/>
  <c r="AF611" i="1"/>
  <c r="AB611" i="1"/>
  <c r="AA611" i="1"/>
  <c r="Y611" i="1"/>
  <c r="V611" i="1"/>
  <c r="U611" i="1" s="1"/>
  <c r="AD611" i="1" s="1"/>
  <c r="AH611" i="1" s="1"/>
  <c r="AG611" i="1" s="1"/>
  <c r="AR610" i="1"/>
  <c r="AQ610" i="1"/>
  <c r="AP610" i="1"/>
  <c r="AO610" i="1"/>
  <c r="AM610" i="1"/>
  <c r="AL610" i="1"/>
  <c r="AK610" i="1"/>
  <c r="AJ610" i="1"/>
  <c r="AF610" i="1"/>
  <c r="AB610" i="1"/>
  <c r="AA610" i="1"/>
  <c r="Y610" i="1"/>
  <c r="V610" i="1"/>
  <c r="U610" i="1" s="1"/>
  <c r="AD610" i="1" s="1"/>
  <c r="AH610" i="1" s="1"/>
  <c r="AG610" i="1" s="1"/>
  <c r="AR609" i="1"/>
  <c r="AQ609" i="1"/>
  <c r="AP609" i="1"/>
  <c r="AO609" i="1"/>
  <c r="AM609" i="1"/>
  <c r="AL609" i="1"/>
  <c r="AK609" i="1"/>
  <c r="AJ609" i="1"/>
  <c r="AF609" i="1"/>
  <c r="AB609" i="1"/>
  <c r="AA609" i="1"/>
  <c r="Y609" i="1"/>
  <c r="V609" i="1"/>
  <c r="U609" i="1" s="1"/>
  <c r="AD609" i="1" s="1"/>
  <c r="AH609" i="1" s="1"/>
  <c r="AG609" i="1" s="1"/>
  <c r="AR608" i="1"/>
  <c r="AQ608" i="1"/>
  <c r="AP608" i="1"/>
  <c r="AO608" i="1"/>
  <c r="AM608" i="1"/>
  <c r="AL608" i="1"/>
  <c r="AK608" i="1"/>
  <c r="AJ608" i="1"/>
  <c r="AF608" i="1"/>
  <c r="AB608" i="1"/>
  <c r="AA608" i="1"/>
  <c r="Y608" i="1"/>
  <c r="V608" i="1"/>
  <c r="U608" i="1" s="1"/>
  <c r="AD608" i="1" s="1"/>
  <c r="AH608" i="1" s="1"/>
  <c r="AG608" i="1" s="1"/>
  <c r="AR607" i="1"/>
  <c r="AQ607" i="1"/>
  <c r="AP607" i="1"/>
  <c r="AO607" i="1"/>
  <c r="AM607" i="1"/>
  <c r="AL607" i="1"/>
  <c r="AK607" i="1"/>
  <c r="AJ607" i="1"/>
  <c r="AF607" i="1"/>
  <c r="AB607" i="1"/>
  <c r="AA607" i="1"/>
  <c r="Y607" i="1"/>
  <c r="V607" i="1"/>
  <c r="U607" i="1"/>
  <c r="AD607" i="1" s="1"/>
  <c r="AH607" i="1" s="1"/>
  <c r="AG607" i="1" s="1"/>
  <c r="AR606" i="1"/>
  <c r="AQ606" i="1"/>
  <c r="AP606" i="1"/>
  <c r="AO606" i="1"/>
  <c r="AM606" i="1"/>
  <c r="AL606" i="1"/>
  <c r="AK606" i="1"/>
  <c r="AJ606" i="1"/>
  <c r="AF606" i="1"/>
  <c r="AD606" i="1"/>
  <c r="AH606" i="1" s="1"/>
  <c r="AG606" i="1" s="1"/>
  <c r="AB606" i="1"/>
  <c r="AA606" i="1"/>
  <c r="Y606" i="1"/>
  <c r="V606" i="1"/>
  <c r="U606" i="1"/>
  <c r="AR605" i="1"/>
  <c r="AQ605" i="1"/>
  <c r="AP605" i="1"/>
  <c r="AO605" i="1"/>
  <c r="AM605" i="1"/>
  <c r="AL605" i="1"/>
  <c r="AK605" i="1"/>
  <c r="AJ605" i="1"/>
  <c r="AF605" i="1"/>
  <c r="AD605" i="1"/>
  <c r="AH605" i="1" s="1"/>
  <c r="AG605" i="1" s="1"/>
  <c r="AB605" i="1"/>
  <c r="AA605" i="1"/>
  <c r="V605" i="1"/>
  <c r="U605" i="1"/>
  <c r="R605" i="1"/>
  <c r="Y605" i="1" s="1"/>
  <c r="AR604" i="1"/>
  <c r="AQ604" i="1"/>
  <c r="AP604" i="1"/>
  <c r="AO604" i="1"/>
  <c r="AM604" i="1"/>
  <c r="AL604" i="1"/>
  <c r="AK604" i="1"/>
  <c r="AJ604" i="1"/>
  <c r="AF604" i="1"/>
  <c r="AB604" i="1"/>
  <c r="AA604" i="1"/>
  <c r="Y604" i="1"/>
  <c r="V604" i="1"/>
  <c r="U604" i="1" s="1"/>
  <c r="AD604" i="1" s="1"/>
  <c r="AH604" i="1" s="1"/>
  <c r="AG604" i="1" s="1"/>
  <c r="AR603" i="1"/>
  <c r="AQ603" i="1"/>
  <c r="AP603" i="1"/>
  <c r="AO603" i="1"/>
  <c r="AM603" i="1"/>
  <c r="AL603" i="1"/>
  <c r="AK603" i="1"/>
  <c r="AJ603" i="1"/>
  <c r="AF603" i="1"/>
  <c r="AB603" i="1"/>
  <c r="AA603" i="1"/>
  <c r="Y603" i="1"/>
  <c r="V603" i="1"/>
  <c r="U603" i="1" s="1"/>
  <c r="AD603" i="1" s="1"/>
  <c r="AH603" i="1" s="1"/>
  <c r="AG603" i="1" s="1"/>
  <c r="AR602" i="1"/>
  <c r="AQ602" i="1"/>
  <c r="AP602" i="1"/>
  <c r="AO602" i="1"/>
  <c r="AM602" i="1"/>
  <c r="AL602" i="1"/>
  <c r="AK602" i="1"/>
  <c r="AJ602" i="1"/>
  <c r="AF602" i="1"/>
  <c r="AB602" i="1"/>
  <c r="AA602" i="1"/>
  <c r="Y602" i="1"/>
  <c r="V602" i="1"/>
  <c r="U602" i="1" s="1"/>
  <c r="AR601" i="1"/>
  <c r="AQ601" i="1"/>
  <c r="AP601" i="1"/>
  <c r="AO601" i="1"/>
  <c r="AM601" i="1"/>
  <c r="AL601" i="1"/>
  <c r="AK601" i="1"/>
  <c r="AJ601" i="1"/>
  <c r="AH601" i="1"/>
  <c r="AG601" i="1" s="1"/>
  <c r="AF601" i="1"/>
  <c r="AD601" i="1"/>
  <c r="AB601" i="1"/>
  <c r="AA601" i="1"/>
  <c r="Y601" i="1"/>
  <c r="V601" i="1"/>
  <c r="U601" i="1"/>
  <c r="AR600" i="1"/>
  <c r="AQ600" i="1"/>
  <c r="AP600" i="1"/>
  <c r="AO600" i="1"/>
  <c r="AM600" i="1"/>
  <c r="AL600" i="1"/>
  <c r="AK600" i="1"/>
  <c r="AJ600" i="1"/>
  <c r="AF600" i="1"/>
  <c r="AB600" i="1"/>
  <c r="AA600" i="1"/>
  <c r="Y600" i="1"/>
  <c r="V600" i="1"/>
  <c r="U600" i="1" s="1"/>
  <c r="AD600" i="1" s="1"/>
  <c r="AH600" i="1" s="1"/>
  <c r="AG600" i="1" s="1"/>
  <c r="AR599" i="1"/>
  <c r="AQ599" i="1"/>
  <c r="AP599" i="1"/>
  <c r="AO599" i="1"/>
  <c r="AM599" i="1"/>
  <c r="AL599" i="1"/>
  <c r="AK599" i="1"/>
  <c r="AJ599" i="1"/>
  <c r="AF599" i="1"/>
  <c r="AB599" i="1"/>
  <c r="AA599" i="1"/>
  <c r="Y599" i="1"/>
  <c r="V599" i="1"/>
  <c r="U599" i="1" s="1"/>
  <c r="P633" i="1"/>
  <c r="AR598" i="1"/>
  <c r="AQ598" i="1"/>
  <c r="AP598" i="1"/>
  <c r="AO598" i="1"/>
  <c r="AM598" i="1"/>
  <c r="AL598" i="1"/>
  <c r="AK598" i="1"/>
  <c r="AJ598" i="1"/>
  <c r="AF598" i="1"/>
  <c r="AB598" i="1"/>
  <c r="AA598" i="1"/>
  <c r="Y598" i="1"/>
  <c r="V598" i="1"/>
  <c r="U598" i="1"/>
  <c r="AD598" i="1" s="1"/>
  <c r="AH598" i="1" s="1"/>
  <c r="AG598" i="1" s="1"/>
  <c r="AR597" i="1"/>
  <c r="AQ597" i="1"/>
  <c r="AP597" i="1"/>
  <c r="AO597" i="1"/>
  <c r="AM597" i="1"/>
  <c r="AL597" i="1"/>
  <c r="AK597" i="1"/>
  <c r="AJ597" i="1"/>
  <c r="AF597" i="1"/>
  <c r="AD597" i="1"/>
  <c r="AH597" i="1" s="1"/>
  <c r="AG597" i="1" s="1"/>
  <c r="AB597" i="1"/>
  <c r="AA597" i="1"/>
  <c r="Y597" i="1"/>
  <c r="V597" i="1"/>
  <c r="U597" i="1"/>
  <c r="AR596" i="1"/>
  <c r="AQ596" i="1"/>
  <c r="AP596" i="1"/>
  <c r="AO596" i="1"/>
  <c r="AM596" i="1"/>
  <c r="AL596" i="1"/>
  <c r="AK596" i="1"/>
  <c r="AJ596" i="1"/>
  <c r="AF596" i="1"/>
  <c r="AD596" i="1"/>
  <c r="AH596" i="1" s="1"/>
  <c r="AG596" i="1" s="1"/>
  <c r="AB596" i="1"/>
  <c r="AA596" i="1"/>
  <c r="Y596" i="1"/>
  <c r="V596" i="1"/>
  <c r="U596" i="1"/>
  <c r="AR595" i="1"/>
  <c r="AQ595" i="1"/>
  <c r="AP595" i="1"/>
  <c r="AO595" i="1"/>
  <c r="AM595" i="1"/>
  <c r="AL595" i="1"/>
  <c r="AK595" i="1"/>
  <c r="AJ595" i="1"/>
  <c r="AF595" i="1"/>
  <c r="AB595" i="1"/>
  <c r="AA595" i="1"/>
  <c r="Y595" i="1"/>
  <c r="V595" i="1"/>
  <c r="U595" i="1"/>
  <c r="AR594" i="1"/>
  <c r="AQ594" i="1"/>
  <c r="AP594" i="1"/>
  <c r="AO594" i="1"/>
  <c r="AM594" i="1"/>
  <c r="AL594" i="1"/>
  <c r="AK594" i="1"/>
  <c r="AJ594" i="1"/>
  <c r="AH594" i="1"/>
  <c r="AG594" i="1" s="1"/>
  <c r="AF594" i="1"/>
  <c r="AD594" i="1"/>
  <c r="AB594" i="1"/>
  <c r="AA594" i="1"/>
  <c r="Y594" i="1"/>
  <c r="V594" i="1"/>
  <c r="U594" i="1"/>
  <c r="AR593" i="1"/>
  <c r="AQ593" i="1"/>
  <c r="AP593" i="1"/>
  <c r="AO593" i="1"/>
  <c r="AM593" i="1"/>
  <c r="AL593" i="1"/>
  <c r="AK593" i="1"/>
  <c r="AJ593" i="1"/>
  <c r="AF593" i="1"/>
  <c r="AB593" i="1"/>
  <c r="AA593" i="1"/>
  <c r="Y593" i="1"/>
  <c r="V593" i="1"/>
  <c r="U593" i="1" s="1"/>
  <c r="AD593" i="1" s="1"/>
  <c r="AH593" i="1" s="1"/>
  <c r="AG593" i="1" s="1"/>
  <c r="AR592" i="1"/>
  <c r="AQ592" i="1"/>
  <c r="AP592" i="1"/>
  <c r="AO592" i="1"/>
  <c r="AM592" i="1"/>
  <c r="AL592" i="1"/>
  <c r="AK592" i="1"/>
  <c r="AJ592" i="1"/>
  <c r="AF592" i="1"/>
  <c r="AB592" i="1"/>
  <c r="AA592" i="1"/>
  <c r="Y592" i="1"/>
  <c r="V592" i="1"/>
  <c r="U592" i="1" s="1"/>
  <c r="AD592" i="1" s="1"/>
  <c r="AH592" i="1" s="1"/>
  <c r="AG592" i="1" s="1"/>
  <c r="AR591" i="1"/>
  <c r="AQ591" i="1"/>
  <c r="AQ633" i="1" s="1"/>
  <c r="AP591" i="1"/>
  <c r="AO591" i="1"/>
  <c r="AO633" i="1" s="1"/>
  <c r="AM591" i="1"/>
  <c r="AM633" i="1" s="1"/>
  <c r="AL591" i="1"/>
  <c r="AK591" i="1"/>
  <c r="AJ591" i="1"/>
  <c r="AF591" i="1"/>
  <c r="AB591" i="1"/>
  <c r="AA591" i="1"/>
  <c r="Y591" i="1"/>
  <c r="V591" i="1"/>
  <c r="U591" i="1"/>
  <c r="AD591" i="1" s="1"/>
  <c r="AH591" i="1" s="1"/>
  <c r="G591" i="1"/>
  <c r="F591" i="1"/>
  <c r="P517" i="1"/>
  <c r="AR517" i="1"/>
  <c r="AQ517" i="1"/>
  <c r="AP517" i="1"/>
  <c r="AO517" i="1"/>
  <c r="AM517" i="1"/>
  <c r="AL517" i="1"/>
  <c r="AK517" i="1"/>
  <c r="AJ517" i="1"/>
  <c r="AF517" i="1"/>
  <c r="AB517" i="1"/>
  <c r="AA517" i="1"/>
  <c r="Y517" i="1"/>
  <c r="V517" i="1"/>
  <c r="U517" i="1" s="1"/>
  <c r="W432" i="1"/>
  <c r="P555" i="1"/>
  <c r="P558" i="1"/>
  <c r="AR550" i="1"/>
  <c r="AQ550" i="1"/>
  <c r="AP550" i="1"/>
  <c r="AO550" i="1"/>
  <c r="AM550" i="1"/>
  <c r="AL550" i="1"/>
  <c r="AK550" i="1"/>
  <c r="AJ550" i="1"/>
  <c r="AF550" i="1"/>
  <c r="AB550" i="1"/>
  <c r="AA550" i="1"/>
  <c r="Y550" i="1"/>
  <c r="V550" i="1"/>
  <c r="U550" i="1" s="1"/>
  <c r="D589" i="1"/>
  <c r="B589" i="1"/>
  <c r="AR588" i="1"/>
  <c r="AQ588" i="1"/>
  <c r="AP588" i="1"/>
  <c r="AO588" i="1"/>
  <c r="AM588" i="1"/>
  <c r="AL588" i="1"/>
  <c r="AK588" i="1"/>
  <c r="AJ588" i="1"/>
  <c r="AF588" i="1"/>
  <c r="AB588" i="1"/>
  <c r="AA588" i="1"/>
  <c r="Y588" i="1"/>
  <c r="V588" i="1"/>
  <c r="U588" i="1" s="1"/>
  <c r="F588" i="1"/>
  <c r="G588" i="1" s="1"/>
  <c r="AR587" i="1"/>
  <c r="AQ587" i="1"/>
  <c r="AP587" i="1"/>
  <c r="AO587" i="1"/>
  <c r="AM587" i="1"/>
  <c r="AL587" i="1"/>
  <c r="AK587" i="1"/>
  <c r="AJ587" i="1"/>
  <c r="AF587" i="1"/>
  <c r="AB587" i="1"/>
  <c r="AA587" i="1"/>
  <c r="Y587" i="1"/>
  <c r="V587" i="1"/>
  <c r="U587" i="1" s="1"/>
  <c r="F587" i="1"/>
  <c r="G587" i="1" s="1"/>
  <c r="AR586" i="1"/>
  <c r="AQ586" i="1"/>
  <c r="AP586" i="1"/>
  <c r="AO586" i="1"/>
  <c r="AM586" i="1"/>
  <c r="AL586" i="1"/>
  <c r="AK586" i="1"/>
  <c r="AJ586" i="1"/>
  <c r="AF586" i="1"/>
  <c r="AB586" i="1"/>
  <c r="AA586" i="1"/>
  <c r="Y586" i="1"/>
  <c r="V586" i="1"/>
  <c r="U586" i="1" s="1"/>
  <c r="F586" i="1"/>
  <c r="G586" i="1" s="1"/>
  <c r="AR585" i="1"/>
  <c r="AQ585" i="1"/>
  <c r="AP585" i="1"/>
  <c r="AO585" i="1"/>
  <c r="AM585" i="1"/>
  <c r="AL585" i="1"/>
  <c r="AK585" i="1"/>
  <c r="AJ585" i="1"/>
  <c r="AF585" i="1"/>
  <c r="AB585" i="1"/>
  <c r="AA585" i="1"/>
  <c r="Y585" i="1"/>
  <c r="V585" i="1"/>
  <c r="U585" i="1" s="1"/>
  <c r="F585" i="1"/>
  <c r="G585" i="1" s="1"/>
  <c r="AR584" i="1"/>
  <c r="AQ584" i="1"/>
  <c r="AP584" i="1"/>
  <c r="AO584" i="1"/>
  <c r="AM584" i="1"/>
  <c r="AL584" i="1"/>
  <c r="AK584" i="1"/>
  <c r="AJ584" i="1"/>
  <c r="AF584" i="1"/>
  <c r="AB584" i="1"/>
  <c r="AA584" i="1"/>
  <c r="Y584" i="1"/>
  <c r="V584" i="1"/>
  <c r="U584" i="1" s="1"/>
  <c r="F584" i="1"/>
  <c r="G584" i="1" s="1"/>
  <c r="AR583" i="1"/>
  <c r="AQ583" i="1"/>
  <c r="AP583" i="1"/>
  <c r="AO583" i="1"/>
  <c r="AM583" i="1"/>
  <c r="AL583" i="1"/>
  <c r="AK583" i="1"/>
  <c r="AJ583" i="1"/>
  <c r="AF583" i="1"/>
  <c r="AB583" i="1"/>
  <c r="AA583" i="1"/>
  <c r="Y583" i="1"/>
  <c r="V583" i="1"/>
  <c r="U583" i="1" s="1"/>
  <c r="AR582" i="1"/>
  <c r="AQ582" i="1"/>
  <c r="AP582" i="1"/>
  <c r="AO582" i="1"/>
  <c r="AM582" i="1"/>
  <c r="AL582" i="1"/>
  <c r="AK582" i="1"/>
  <c r="AJ582" i="1"/>
  <c r="AF582" i="1"/>
  <c r="AB582" i="1"/>
  <c r="AA582" i="1"/>
  <c r="Y582" i="1"/>
  <c r="V582" i="1"/>
  <c r="U582" i="1" s="1"/>
  <c r="AR581" i="1"/>
  <c r="AQ581" i="1"/>
  <c r="AP581" i="1"/>
  <c r="AO581" i="1"/>
  <c r="AM581" i="1"/>
  <c r="AL581" i="1"/>
  <c r="AK581" i="1"/>
  <c r="AJ581" i="1"/>
  <c r="AF581" i="1"/>
  <c r="AB581" i="1"/>
  <c r="AA581" i="1"/>
  <c r="Y581" i="1"/>
  <c r="V581" i="1"/>
  <c r="U581" i="1" s="1"/>
  <c r="AR580" i="1"/>
  <c r="AQ580" i="1"/>
  <c r="AP580" i="1"/>
  <c r="AO580" i="1"/>
  <c r="AM580" i="1"/>
  <c r="AL580" i="1"/>
  <c r="AK580" i="1"/>
  <c r="AJ580" i="1"/>
  <c r="AF580" i="1"/>
  <c r="AB580" i="1"/>
  <c r="AA580" i="1"/>
  <c r="Y580" i="1"/>
  <c r="V580" i="1"/>
  <c r="U580" i="1" s="1"/>
  <c r="AR579" i="1"/>
  <c r="AQ579" i="1"/>
  <c r="AP579" i="1"/>
  <c r="AO579" i="1"/>
  <c r="AM579" i="1"/>
  <c r="AL579" i="1"/>
  <c r="AK579" i="1"/>
  <c r="AJ579" i="1"/>
  <c r="AF579" i="1"/>
  <c r="AB579" i="1"/>
  <c r="AA579" i="1"/>
  <c r="Y579" i="1"/>
  <c r="V579" i="1"/>
  <c r="U579" i="1" s="1"/>
  <c r="AR578" i="1"/>
  <c r="AQ578" i="1"/>
  <c r="AP578" i="1"/>
  <c r="AO578" i="1"/>
  <c r="AM578" i="1"/>
  <c r="AL578" i="1"/>
  <c r="AK578" i="1"/>
  <c r="AJ578" i="1"/>
  <c r="AF578" i="1"/>
  <c r="AB578" i="1"/>
  <c r="AA578" i="1"/>
  <c r="Y578" i="1"/>
  <c r="V578" i="1"/>
  <c r="U578" i="1" s="1"/>
  <c r="AD578" i="1" s="1"/>
  <c r="AR577" i="1"/>
  <c r="AQ577" i="1"/>
  <c r="AP577" i="1"/>
  <c r="AO577" i="1"/>
  <c r="AM577" i="1"/>
  <c r="AL577" i="1"/>
  <c r="AK577" i="1"/>
  <c r="AJ577" i="1"/>
  <c r="AF577" i="1"/>
  <c r="AB577" i="1"/>
  <c r="AA577" i="1"/>
  <c r="Y577" i="1"/>
  <c r="V577" i="1"/>
  <c r="U577" i="1" s="1"/>
  <c r="AR576" i="1"/>
  <c r="AQ576" i="1"/>
  <c r="AP576" i="1"/>
  <c r="AO576" i="1"/>
  <c r="AM576" i="1"/>
  <c r="AL576" i="1"/>
  <c r="AK576" i="1"/>
  <c r="AJ576" i="1"/>
  <c r="AF576" i="1"/>
  <c r="AB576" i="1"/>
  <c r="AA576" i="1"/>
  <c r="Y576" i="1"/>
  <c r="V576" i="1"/>
  <c r="U576" i="1" s="1"/>
  <c r="AR575" i="1"/>
  <c r="AQ575" i="1"/>
  <c r="AP575" i="1"/>
  <c r="AO575" i="1"/>
  <c r="AM575" i="1"/>
  <c r="AL575" i="1"/>
  <c r="AK575" i="1"/>
  <c r="AJ575" i="1"/>
  <c r="AF575" i="1"/>
  <c r="AB575" i="1"/>
  <c r="AA575" i="1"/>
  <c r="Y575" i="1"/>
  <c r="V575" i="1"/>
  <c r="U575" i="1" s="1"/>
  <c r="AR574" i="1"/>
  <c r="AQ574" i="1"/>
  <c r="AP574" i="1"/>
  <c r="AO574" i="1"/>
  <c r="AM574" i="1"/>
  <c r="AL574" i="1"/>
  <c r="AK574" i="1"/>
  <c r="AJ574" i="1"/>
  <c r="AF574" i="1"/>
  <c r="AB574" i="1"/>
  <c r="AA574" i="1"/>
  <c r="Y574" i="1"/>
  <c r="V574" i="1"/>
  <c r="U574" i="1" s="1"/>
  <c r="AR573" i="1"/>
  <c r="AQ573" i="1"/>
  <c r="AP573" i="1"/>
  <c r="AO573" i="1"/>
  <c r="AM573" i="1"/>
  <c r="AL573" i="1"/>
  <c r="AK573" i="1"/>
  <c r="AJ573" i="1"/>
  <c r="AF573" i="1"/>
  <c r="AB573" i="1"/>
  <c r="AA573" i="1"/>
  <c r="Y573" i="1"/>
  <c r="V573" i="1"/>
  <c r="U573" i="1" s="1"/>
  <c r="AR572" i="1"/>
  <c r="AQ572" i="1"/>
  <c r="AP572" i="1"/>
  <c r="AO572" i="1"/>
  <c r="AM572" i="1"/>
  <c r="AL572" i="1"/>
  <c r="AK572" i="1"/>
  <c r="AJ572" i="1"/>
  <c r="AF572" i="1"/>
  <c r="AB572" i="1"/>
  <c r="AA572" i="1"/>
  <c r="Y572" i="1"/>
  <c r="V572" i="1"/>
  <c r="U572" i="1" s="1"/>
  <c r="F572" i="1"/>
  <c r="G572" i="1" s="1"/>
  <c r="AR571" i="1"/>
  <c r="AQ571" i="1"/>
  <c r="AP571" i="1"/>
  <c r="AO571" i="1"/>
  <c r="AM571" i="1"/>
  <c r="AL571" i="1"/>
  <c r="AK571" i="1"/>
  <c r="AJ571" i="1"/>
  <c r="AF571" i="1"/>
  <c r="AB571" i="1"/>
  <c r="AA571" i="1"/>
  <c r="Y571" i="1"/>
  <c r="V571" i="1"/>
  <c r="U571" i="1" s="1"/>
  <c r="F571" i="1"/>
  <c r="G571" i="1" s="1"/>
  <c r="AR570" i="1"/>
  <c r="AQ570" i="1"/>
  <c r="AP570" i="1"/>
  <c r="AO570" i="1"/>
  <c r="AM570" i="1"/>
  <c r="AL570" i="1"/>
  <c r="AK570" i="1"/>
  <c r="AJ570" i="1"/>
  <c r="AF570" i="1"/>
  <c r="AB570" i="1"/>
  <c r="AA570" i="1"/>
  <c r="Y570" i="1"/>
  <c r="V570" i="1"/>
  <c r="U570" i="1" s="1"/>
  <c r="AR569" i="1"/>
  <c r="AQ569" i="1"/>
  <c r="AP569" i="1"/>
  <c r="AO569" i="1"/>
  <c r="AM569" i="1"/>
  <c r="AL569" i="1"/>
  <c r="AK569" i="1"/>
  <c r="AJ569" i="1"/>
  <c r="AF569" i="1"/>
  <c r="AB569" i="1"/>
  <c r="AA569" i="1"/>
  <c r="Y569" i="1"/>
  <c r="V569" i="1"/>
  <c r="U569" i="1" s="1"/>
  <c r="AR568" i="1"/>
  <c r="AQ568" i="1"/>
  <c r="AP568" i="1"/>
  <c r="AO568" i="1"/>
  <c r="AM568" i="1"/>
  <c r="AL568" i="1"/>
  <c r="AK568" i="1"/>
  <c r="AJ568" i="1"/>
  <c r="AF568" i="1"/>
  <c r="AB568" i="1"/>
  <c r="AA568" i="1"/>
  <c r="Y568" i="1"/>
  <c r="V568" i="1"/>
  <c r="U568" i="1" s="1"/>
  <c r="AR567" i="1"/>
  <c r="AQ567" i="1"/>
  <c r="AP567" i="1"/>
  <c r="AO567" i="1"/>
  <c r="AM567" i="1"/>
  <c r="AL567" i="1"/>
  <c r="AK567" i="1"/>
  <c r="AJ567" i="1"/>
  <c r="AF567" i="1"/>
  <c r="AB567" i="1"/>
  <c r="AA567" i="1"/>
  <c r="Y567" i="1"/>
  <c r="V567" i="1"/>
  <c r="U567" i="1" s="1"/>
  <c r="AR566" i="1"/>
  <c r="AQ566" i="1"/>
  <c r="AP566" i="1"/>
  <c r="AO566" i="1"/>
  <c r="AM566" i="1"/>
  <c r="AL566" i="1"/>
  <c r="AK566" i="1"/>
  <c r="AJ566" i="1"/>
  <c r="AF566" i="1"/>
  <c r="AB566" i="1"/>
  <c r="AA566" i="1"/>
  <c r="Y566" i="1"/>
  <c r="V566" i="1"/>
  <c r="U566" i="1" s="1"/>
  <c r="AR565" i="1"/>
  <c r="AQ565" i="1"/>
  <c r="AP565" i="1"/>
  <c r="AO565" i="1"/>
  <c r="AM565" i="1"/>
  <c r="AL565" i="1"/>
  <c r="AK565" i="1"/>
  <c r="AJ565" i="1"/>
  <c r="AF565" i="1"/>
  <c r="AB565" i="1"/>
  <c r="AA565" i="1"/>
  <c r="Y565" i="1"/>
  <c r="V565" i="1"/>
  <c r="U565" i="1" s="1"/>
  <c r="AR564" i="1"/>
  <c r="AQ564" i="1"/>
  <c r="AP564" i="1"/>
  <c r="AO564" i="1"/>
  <c r="AM564" i="1"/>
  <c r="AL564" i="1"/>
  <c r="AK564" i="1"/>
  <c r="AJ564" i="1"/>
  <c r="AF564" i="1"/>
  <c r="AB564" i="1"/>
  <c r="AA564" i="1"/>
  <c r="Y564" i="1"/>
  <c r="V564" i="1"/>
  <c r="U564" i="1" s="1"/>
  <c r="AR563" i="1"/>
  <c r="AQ563" i="1"/>
  <c r="AP563" i="1"/>
  <c r="AO563" i="1"/>
  <c r="AM563" i="1"/>
  <c r="AL563" i="1"/>
  <c r="AK563" i="1"/>
  <c r="AJ563" i="1"/>
  <c r="AF563" i="1"/>
  <c r="AB563" i="1"/>
  <c r="AA563" i="1"/>
  <c r="Y563" i="1"/>
  <c r="V563" i="1"/>
  <c r="U563" i="1" s="1"/>
  <c r="AR562" i="1"/>
  <c r="AQ562" i="1"/>
  <c r="AP562" i="1"/>
  <c r="AO562" i="1"/>
  <c r="AM562" i="1"/>
  <c r="AL562" i="1"/>
  <c r="AK562" i="1"/>
  <c r="AJ562" i="1"/>
  <c r="AF562" i="1"/>
  <c r="AB562" i="1"/>
  <c r="AA562" i="1"/>
  <c r="Y562" i="1"/>
  <c r="V562" i="1"/>
  <c r="U562" i="1" s="1"/>
  <c r="AR561" i="1"/>
  <c r="AQ561" i="1"/>
  <c r="AP561" i="1"/>
  <c r="AO561" i="1"/>
  <c r="AM561" i="1"/>
  <c r="AL561" i="1"/>
  <c r="AK561" i="1"/>
  <c r="AJ561" i="1"/>
  <c r="AF561" i="1"/>
  <c r="AB561" i="1"/>
  <c r="AA561" i="1"/>
  <c r="V561" i="1"/>
  <c r="U561" i="1" s="1"/>
  <c r="AR560" i="1"/>
  <c r="AQ560" i="1"/>
  <c r="AP560" i="1"/>
  <c r="AO560" i="1"/>
  <c r="AM560" i="1"/>
  <c r="AL560" i="1"/>
  <c r="AK560" i="1"/>
  <c r="AJ560" i="1"/>
  <c r="AF560" i="1"/>
  <c r="AB560" i="1"/>
  <c r="AA560" i="1"/>
  <c r="Y560" i="1"/>
  <c r="V560" i="1"/>
  <c r="U560" i="1" s="1"/>
  <c r="AR559" i="1"/>
  <c r="AQ559" i="1"/>
  <c r="AP559" i="1"/>
  <c r="AO559" i="1"/>
  <c r="AM559" i="1"/>
  <c r="AL559" i="1"/>
  <c r="AK559" i="1"/>
  <c r="AJ559" i="1"/>
  <c r="AF559" i="1"/>
  <c r="AB559" i="1"/>
  <c r="AA559" i="1"/>
  <c r="Y559" i="1"/>
  <c r="V559" i="1"/>
  <c r="U559" i="1" s="1"/>
  <c r="AR558" i="1"/>
  <c r="AQ558" i="1"/>
  <c r="AP558" i="1"/>
  <c r="AO558" i="1"/>
  <c r="AM558" i="1"/>
  <c r="AL558" i="1"/>
  <c r="AK558" i="1"/>
  <c r="AJ558" i="1"/>
  <c r="AF558" i="1"/>
  <c r="AB558" i="1"/>
  <c r="AA558" i="1"/>
  <c r="Y558" i="1"/>
  <c r="V558" i="1"/>
  <c r="U558" i="1" s="1"/>
  <c r="AR557" i="1"/>
  <c r="AQ557" i="1"/>
  <c r="AP557" i="1"/>
  <c r="AO557" i="1"/>
  <c r="AM557" i="1"/>
  <c r="AL557" i="1"/>
  <c r="AK557" i="1"/>
  <c r="AJ557" i="1"/>
  <c r="AF557" i="1"/>
  <c r="AB557" i="1"/>
  <c r="AA557" i="1"/>
  <c r="Y557" i="1"/>
  <c r="V557" i="1"/>
  <c r="U557" i="1" s="1"/>
  <c r="AR556" i="1"/>
  <c r="AQ556" i="1"/>
  <c r="AP556" i="1"/>
  <c r="AO556" i="1"/>
  <c r="AM556" i="1"/>
  <c r="AL556" i="1"/>
  <c r="AK556" i="1"/>
  <c r="AJ556" i="1"/>
  <c r="AF556" i="1"/>
  <c r="AB556" i="1"/>
  <c r="AA556" i="1"/>
  <c r="Y556" i="1"/>
  <c r="V556" i="1"/>
  <c r="U556" i="1" s="1"/>
  <c r="AR555" i="1"/>
  <c r="AQ555" i="1"/>
  <c r="AP555" i="1"/>
  <c r="AO555" i="1"/>
  <c r="AM555" i="1"/>
  <c r="AL555" i="1"/>
  <c r="AK555" i="1"/>
  <c r="AJ555" i="1"/>
  <c r="AF555" i="1"/>
  <c r="AB555" i="1"/>
  <c r="AA555" i="1"/>
  <c r="Y555" i="1"/>
  <c r="V555" i="1"/>
  <c r="U555" i="1" s="1"/>
  <c r="AR554" i="1"/>
  <c r="AQ554" i="1"/>
  <c r="AP554" i="1"/>
  <c r="AO554" i="1"/>
  <c r="AM554" i="1"/>
  <c r="AL554" i="1"/>
  <c r="AK554" i="1"/>
  <c r="AJ554" i="1"/>
  <c r="AF554" i="1"/>
  <c r="AB554" i="1"/>
  <c r="AA554" i="1"/>
  <c r="Y554" i="1"/>
  <c r="V554" i="1"/>
  <c r="U554" i="1" s="1"/>
  <c r="AR553" i="1"/>
  <c r="AQ553" i="1"/>
  <c r="AP553" i="1"/>
  <c r="AO553" i="1"/>
  <c r="AM553" i="1"/>
  <c r="AL553" i="1"/>
  <c r="AK553" i="1"/>
  <c r="AJ553" i="1"/>
  <c r="AF553" i="1"/>
  <c r="AB553" i="1"/>
  <c r="AA553" i="1"/>
  <c r="Y553" i="1"/>
  <c r="V553" i="1"/>
  <c r="U553" i="1" s="1"/>
  <c r="AR552" i="1"/>
  <c r="AQ552" i="1"/>
  <c r="AP552" i="1"/>
  <c r="AO552" i="1"/>
  <c r="AM552" i="1"/>
  <c r="AL552" i="1"/>
  <c r="AK552" i="1"/>
  <c r="AJ552" i="1"/>
  <c r="AF552" i="1"/>
  <c r="AB552" i="1"/>
  <c r="AA552" i="1"/>
  <c r="Y552" i="1"/>
  <c r="V552" i="1"/>
  <c r="U552" i="1" s="1"/>
  <c r="AR551" i="1"/>
  <c r="AQ551" i="1"/>
  <c r="AP551" i="1"/>
  <c r="AO551" i="1"/>
  <c r="AM551" i="1"/>
  <c r="AL551" i="1"/>
  <c r="AK551" i="1"/>
  <c r="AJ551" i="1"/>
  <c r="AF551" i="1"/>
  <c r="AB551" i="1"/>
  <c r="AA551" i="1"/>
  <c r="Y551" i="1"/>
  <c r="V551" i="1"/>
  <c r="U551" i="1" s="1"/>
  <c r="AR549" i="1"/>
  <c r="AQ549" i="1"/>
  <c r="AP549" i="1"/>
  <c r="AO549" i="1"/>
  <c r="AM549" i="1"/>
  <c r="AL549" i="1"/>
  <c r="AK549" i="1"/>
  <c r="AJ549" i="1"/>
  <c r="AF549" i="1"/>
  <c r="AB549" i="1"/>
  <c r="AA549" i="1"/>
  <c r="Y549" i="1"/>
  <c r="V549" i="1"/>
  <c r="U549" i="1" s="1"/>
  <c r="AR548" i="1"/>
  <c r="AQ548" i="1"/>
  <c r="AP548" i="1"/>
  <c r="AO548" i="1"/>
  <c r="AM548" i="1"/>
  <c r="AL548" i="1"/>
  <c r="AK548" i="1"/>
  <c r="AJ548" i="1"/>
  <c r="AF548" i="1"/>
  <c r="AB548" i="1"/>
  <c r="AA548" i="1"/>
  <c r="Y548" i="1"/>
  <c r="V548" i="1"/>
  <c r="U548" i="1" s="1"/>
  <c r="AR547" i="1"/>
  <c r="AQ547" i="1"/>
  <c r="AP547" i="1"/>
  <c r="AO547" i="1"/>
  <c r="AM547" i="1"/>
  <c r="AL547" i="1"/>
  <c r="AK547" i="1"/>
  <c r="AJ547" i="1"/>
  <c r="AF547" i="1"/>
  <c r="AB547" i="1"/>
  <c r="AA547" i="1"/>
  <c r="Y547" i="1"/>
  <c r="V547" i="1"/>
  <c r="U547" i="1" s="1"/>
  <c r="F547" i="1"/>
  <c r="G547" i="1" s="1"/>
  <c r="P492" i="1"/>
  <c r="P500" i="1" s="1"/>
  <c r="Q489" i="1"/>
  <c r="R489" i="1" s="1"/>
  <c r="P510" i="1"/>
  <c r="AR477" i="1"/>
  <c r="AQ477" i="1"/>
  <c r="AP477" i="1"/>
  <c r="AO477" i="1"/>
  <c r="AM477" i="1"/>
  <c r="AL477" i="1"/>
  <c r="AK477" i="1"/>
  <c r="AJ477" i="1"/>
  <c r="AF477" i="1"/>
  <c r="AB477" i="1"/>
  <c r="AA477" i="1"/>
  <c r="Y477" i="1"/>
  <c r="V477" i="1"/>
  <c r="U477" i="1" s="1"/>
  <c r="Q516" i="1"/>
  <c r="P516" i="1"/>
  <c r="AR462" i="1"/>
  <c r="AQ462" i="1"/>
  <c r="AP462" i="1"/>
  <c r="AO462" i="1"/>
  <c r="AM462" i="1"/>
  <c r="AL462" i="1"/>
  <c r="AK462" i="1"/>
  <c r="AJ462" i="1"/>
  <c r="AF462" i="1"/>
  <c r="AB462" i="1"/>
  <c r="AA462" i="1"/>
  <c r="Y462" i="1"/>
  <c r="V462" i="1"/>
  <c r="U462" i="1" s="1"/>
  <c r="R506" i="1"/>
  <c r="I633" i="1" l="1"/>
  <c r="K633" i="1" s="1"/>
  <c r="AK633" i="1"/>
  <c r="AA633" i="1"/>
  <c r="Z633" i="1" s="1"/>
  <c r="AD599" i="1"/>
  <c r="AH599" i="1" s="1"/>
  <c r="AG599" i="1" s="1"/>
  <c r="AR633" i="1"/>
  <c r="AJ633" i="1"/>
  <c r="AL633" i="1"/>
  <c r="AP633" i="1"/>
  <c r="AB633" i="1"/>
  <c r="AC633" i="1" s="1"/>
  <c r="AF633" i="1"/>
  <c r="AD595" i="1"/>
  <c r="AH595" i="1" s="1"/>
  <c r="AG595" i="1" s="1"/>
  <c r="AG591" i="1"/>
  <c r="AD602" i="1"/>
  <c r="AH602" i="1" s="1"/>
  <c r="AG602" i="1" s="1"/>
  <c r="AD579" i="1"/>
  <c r="AH579" i="1" s="1"/>
  <c r="AG579" i="1" s="1"/>
  <c r="E633" i="1"/>
  <c r="AD588" i="1"/>
  <c r="AH588" i="1" s="1"/>
  <c r="AG588" i="1" s="1"/>
  <c r="AD552" i="1"/>
  <c r="AH552" i="1" s="1"/>
  <c r="AG552" i="1" s="1"/>
  <c r="AD574" i="1"/>
  <c r="AH574" i="1" s="1"/>
  <c r="AG574" i="1" s="1"/>
  <c r="AD565" i="1"/>
  <c r="AD517" i="1"/>
  <c r="AH517" i="1" s="1"/>
  <c r="AG517" i="1" s="1"/>
  <c r="AD583" i="1"/>
  <c r="AH583" i="1" s="1"/>
  <c r="AG583" i="1" s="1"/>
  <c r="AD550" i="1"/>
  <c r="AH550" i="1" s="1"/>
  <c r="AG550" i="1" s="1"/>
  <c r="P589" i="1"/>
  <c r="P639" i="1" s="1"/>
  <c r="AH565" i="1"/>
  <c r="AG565" i="1" s="1"/>
  <c r="AD586" i="1"/>
  <c r="AH586" i="1" s="1"/>
  <c r="AG586" i="1" s="1"/>
  <c r="AH578" i="1"/>
  <c r="AG578" i="1" s="1"/>
  <c r="AD558" i="1"/>
  <c r="AH558" i="1" s="1"/>
  <c r="AG558" i="1" s="1"/>
  <c r="AD587" i="1"/>
  <c r="AH587" i="1" s="1"/>
  <c r="AG587" i="1" s="1"/>
  <c r="AD462" i="1"/>
  <c r="AH462" i="1" s="1"/>
  <c r="AG462" i="1" s="1"/>
  <c r="AD562" i="1"/>
  <c r="AH562" i="1" s="1"/>
  <c r="AG562" i="1" s="1"/>
  <c r="AD572" i="1"/>
  <c r="AH572" i="1" s="1"/>
  <c r="AG572" i="1" s="1"/>
  <c r="AD548" i="1"/>
  <c r="AH548" i="1" s="1"/>
  <c r="AG548" i="1" s="1"/>
  <c r="AD571" i="1"/>
  <c r="AH571" i="1" s="1"/>
  <c r="AG571" i="1" s="1"/>
  <c r="AD581" i="1"/>
  <c r="AH581" i="1" s="1"/>
  <c r="AG581" i="1" s="1"/>
  <c r="AD557" i="1"/>
  <c r="AH557" i="1" s="1"/>
  <c r="AG557" i="1" s="1"/>
  <c r="AD582" i="1"/>
  <c r="AH582" i="1" s="1"/>
  <c r="AG582" i="1" s="1"/>
  <c r="AD566" i="1"/>
  <c r="AH566" i="1" s="1"/>
  <c r="AG566" i="1" s="1"/>
  <c r="AD584" i="1"/>
  <c r="AH584" i="1" s="1"/>
  <c r="AG584" i="1" s="1"/>
  <c r="AD555" i="1"/>
  <c r="AH555" i="1" s="1"/>
  <c r="AG555" i="1" s="1"/>
  <c r="AD547" i="1"/>
  <c r="AH547" i="1" s="1"/>
  <c r="AG547" i="1" s="1"/>
  <c r="AD577" i="1"/>
  <c r="AH577" i="1" s="1"/>
  <c r="AG577" i="1" s="1"/>
  <c r="AD585" i="1"/>
  <c r="AH585" i="1" s="1"/>
  <c r="AG585" i="1" s="1"/>
  <c r="AD575" i="1"/>
  <c r="AH575" i="1" s="1"/>
  <c r="AG575" i="1" s="1"/>
  <c r="AD551" i="1"/>
  <c r="AH551" i="1" s="1"/>
  <c r="AG551" i="1" s="1"/>
  <c r="AD580" i="1"/>
  <c r="AH580" i="1" s="1"/>
  <c r="AG580" i="1" s="1"/>
  <c r="AD567" i="1"/>
  <c r="AH567" i="1" s="1"/>
  <c r="AG567" i="1" s="1"/>
  <c r="AD553" i="1"/>
  <c r="AH553" i="1" s="1"/>
  <c r="AG553" i="1" s="1"/>
  <c r="AD560" i="1"/>
  <c r="AH560" i="1" s="1"/>
  <c r="AG560" i="1" s="1"/>
  <c r="AD568" i="1"/>
  <c r="AH568" i="1" s="1"/>
  <c r="AG568" i="1" s="1"/>
  <c r="I589" i="1"/>
  <c r="K589" i="1" s="1"/>
  <c r="AD556" i="1"/>
  <c r="AH556" i="1" s="1"/>
  <c r="AG556" i="1" s="1"/>
  <c r="AD563" i="1"/>
  <c r="AH563" i="1" s="1"/>
  <c r="AG563" i="1" s="1"/>
  <c r="AD569" i="1"/>
  <c r="AH569" i="1" s="1"/>
  <c r="AG569" i="1" s="1"/>
  <c r="AD570" i="1"/>
  <c r="AH570" i="1" s="1"/>
  <c r="AG570" i="1" s="1"/>
  <c r="AD549" i="1"/>
  <c r="AH549" i="1" s="1"/>
  <c r="AG549" i="1" s="1"/>
  <c r="AD564" i="1"/>
  <c r="AH564" i="1" s="1"/>
  <c r="AG564" i="1" s="1"/>
  <c r="AD576" i="1"/>
  <c r="AH576" i="1" s="1"/>
  <c r="AG576" i="1" s="1"/>
  <c r="AD573" i="1"/>
  <c r="AH573" i="1" s="1"/>
  <c r="AG573" i="1" s="1"/>
  <c r="AL589" i="1"/>
  <c r="AL590" i="1" s="1"/>
  <c r="AQ589" i="1"/>
  <c r="AQ590" i="1" s="1"/>
  <c r="AR589" i="1"/>
  <c r="AR590" i="1" s="1"/>
  <c r="AD559" i="1"/>
  <c r="AH559" i="1" s="1"/>
  <c r="AG559" i="1" s="1"/>
  <c r="AJ589" i="1"/>
  <c r="AJ590" i="1" s="1"/>
  <c r="AO589" i="1"/>
  <c r="AO590" i="1" s="1"/>
  <c r="AP589" i="1"/>
  <c r="AP590" i="1" s="1"/>
  <c r="AA589" i="1"/>
  <c r="Z589" i="1" s="1"/>
  <c r="AM589" i="1"/>
  <c r="AM590" i="1" s="1"/>
  <c r="AK589" i="1"/>
  <c r="AK590" i="1" s="1"/>
  <c r="AB589" i="1"/>
  <c r="AC589" i="1" s="1"/>
  <c r="AF589" i="1"/>
  <c r="AD554" i="1"/>
  <c r="AH554" i="1" s="1"/>
  <c r="AG554" i="1" s="1"/>
  <c r="AD561" i="1"/>
  <c r="AH561" i="1" s="1"/>
  <c r="AG561" i="1" s="1"/>
  <c r="E589" i="1"/>
  <c r="R516" i="1"/>
  <c r="AD477" i="1"/>
  <c r="AH477" i="1" s="1"/>
  <c r="AG477" i="1" s="1"/>
  <c r="AR467" i="1"/>
  <c r="AQ467" i="1"/>
  <c r="AP467" i="1"/>
  <c r="AO467" i="1"/>
  <c r="AM467" i="1"/>
  <c r="AL467" i="1"/>
  <c r="AK467" i="1"/>
  <c r="AJ467" i="1"/>
  <c r="AB467" i="1"/>
  <c r="AA467" i="1"/>
  <c r="Y467" i="1"/>
  <c r="V467" i="1"/>
  <c r="U467" i="1" s="1"/>
  <c r="F467" i="1"/>
  <c r="G467" i="1" s="1"/>
  <c r="AF467" i="1" s="1"/>
  <c r="AN590" i="1" l="1"/>
  <c r="AS590" i="1"/>
  <c r="AS633" i="1"/>
  <c r="R633" i="1"/>
  <c r="AN633" i="1"/>
  <c r="AH633" i="1"/>
  <c r="AI633" i="1" s="1"/>
  <c r="AG633" i="1"/>
  <c r="N633" i="1" s="1"/>
  <c r="AD467" i="1"/>
  <c r="AH467" i="1" s="1"/>
  <c r="AG467" i="1" s="1"/>
  <c r="AS589" i="1"/>
  <c r="AN589" i="1"/>
  <c r="R589" i="1"/>
  <c r="AG589" i="1"/>
  <c r="N589" i="1" s="1"/>
  <c r="AH589" i="1"/>
  <c r="AI589" i="1" s="1"/>
  <c r="AR472" i="1"/>
  <c r="AQ472" i="1"/>
  <c r="AP472" i="1"/>
  <c r="AO472" i="1"/>
  <c r="AM472" i="1"/>
  <c r="AL472" i="1"/>
  <c r="AK472" i="1"/>
  <c r="AJ472" i="1"/>
  <c r="AB472" i="1"/>
  <c r="AA472" i="1"/>
  <c r="Y472" i="1"/>
  <c r="V472" i="1"/>
  <c r="U472" i="1" s="1"/>
  <c r="F472" i="1"/>
  <c r="G472" i="1" s="1"/>
  <c r="AF472" i="1" s="1"/>
  <c r="AD472" i="1" l="1"/>
  <c r="AH472" i="1" s="1"/>
  <c r="AG472" i="1" s="1"/>
  <c r="H11" i="1"/>
  <c r="N11" i="1" s="1"/>
  <c r="P545" i="1" l="1"/>
  <c r="D545" i="1"/>
  <c r="B545" i="1"/>
  <c r="AR544" i="1"/>
  <c r="AQ544" i="1"/>
  <c r="AP544" i="1"/>
  <c r="AO544" i="1"/>
  <c r="AM544" i="1"/>
  <c r="AL544" i="1"/>
  <c r="AK544" i="1"/>
  <c r="AJ544" i="1"/>
  <c r="AF544" i="1"/>
  <c r="AB544" i="1"/>
  <c r="AA544" i="1"/>
  <c r="Y544" i="1"/>
  <c r="V544" i="1"/>
  <c r="U544" i="1" s="1"/>
  <c r="F544" i="1"/>
  <c r="G544" i="1" s="1"/>
  <c r="AR543" i="1"/>
  <c r="AQ543" i="1"/>
  <c r="AP543" i="1"/>
  <c r="AO543" i="1"/>
  <c r="AM543" i="1"/>
  <c r="AL543" i="1"/>
  <c r="AK543" i="1"/>
  <c r="AJ543" i="1"/>
  <c r="AF543" i="1"/>
  <c r="AB543" i="1"/>
  <c r="AA543" i="1"/>
  <c r="Y543" i="1"/>
  <c r="V543" i="1"/>
  <c r="U543" i="1" s="1"/>
  <c r="F543" i="1"/>
  <c r="G543" i="1" s="1"/>
  <c r="AR542" i="1"/>
  <c r="AQ542" i="1"/>
  <c r="AP542" i="1"/>
  <c r="AO542" i="1"/>
  <c r="AM542" i="1"/>
  <c r="AL542" i="1"/>
  <c r="AK542" i="1"/>
  <c r="AJ542" i="1"/>
  <c r="AF542" i="1"/>
  <c r="AB542" i="1"/>
  <c r="AA542" i="1"/>
  <c r="Y542" i="1"/>
  <c r="V542" i="1"/>
  <c r="U542" i="1" s="1"/>
  <c r="F542" i="1"/>
  <c r="G542" i="1" s="1"/>
  <c r="AR541" i="1"/>
  <c r="AQ541" i="1"/>
  <c r="AP541" i="1"/>
  <c r="AO541" i="1"/>
  <c r="AM541" i="1"/>
  <c r="AL541" i="1"/>
  <c r="AK541" i="1"/>
  <c r="AJ541" i="1"/>
  <c r="AF541" i="1"/>
  <c r="AB541" i="1"/>
  <c r="AA541" i="1"/>
  <c r="Y541" i="1"/>
  <c r="V541" i="1"/>
  <c r="U541" i="1" s="1"/>
  <c r="F541" i="1"/>
  <c r="G541" i="1" s="1"/>
  <c r="AR540" i="1"/>
  <c r="AQ540" i="1"/>
  <c r="AP540" i="1"/>
  <c r="AO540" i="1"/>
  <c r="AM540" i="1"/>
  <c r="AL540" i="1"/>
  <c r="AK540" i="1"/>
  <c r="AJ540" i="1"/>
  <c r="AF540" i="1"/>
  <c r="AB540" i="1"/>
  <c r="AA540" i="1"/>
  <c r="Y540" i="1"/>
  <c r="V540" i="1"/>
  <c r="U540" i="1" s="1"/>
  <c r="F540" i="1"/>
  <c r="G540" i="1" s="1"/>
  <c r="AR539" i="1"/>
  <c r="AQ539" i="1"/>
  <c r="AP539" i="1"/>
  <c r="AO539" i="1"/>
  <c r="AM539" i="1"/>
  <c r="AL539" i="1"/>
  <c r="AK539" i="1"/>
  <c r="AJ539" i="1"/>
  <c r="AF539" i="1"/>
  <c r="AB539" i="1"/>
  <c r="AA539" i="1"/>
  <c r="Y539" i="1"/>
  <c r="V539" i="1"/>
  <c r="U539" i="1" s="1"/>
  <c r="AR538" i="1"/>
  <c r="AQ538" i="1"/>
  <c r="AP538" i="1"/>
  <c r="AO538" i="1"/>
  <c r="AM538" i="1"/>
  <c r="AL538" i="1"/>
  <c r="AK538" i="1"/>
  <c r="AJ538" i="1"/>
  <c r="AB538" i="1"/>
  <c r="AA538" i="1"/>
  <c r="Y538" i="1"/>
  <c r="V538" i="1"/>
  <c r="U538" i="1" s="1"/>
  <c r="AF538" i="1"/>
  <c r="AR537" i="1"/>
  <c r="AQ537" i="1"/>
  <c r="AP537" i="1"/>
  <c r="AO537" i="1"/>
  <c r="AM537" i="1"/>
  <c r="AL537" i="1"/>
  <c r="AK537" i="1"/>
  <c r="AJ537" i="1"/>
  <c r="AF537" i="1"/>
  <c r="AB537" i="1"/>
  <c r="AA537" i="1"/>
  <c r="Y537" i="1"/>
  <c r="V537" i="1"/>
  <c r="U537" i="1" s="1"/>
  <c r="AR536" i="1"/>
  <c r="AQ536" i="1"/>
  <c r="AP536" i="1"/>
  <c r="AO536" i="1"/>
  <c r="AM536" i="1"/>
  <c r="AL536" i="1"/>
  <c r="AK536" i="1"/>
  <c r="AJ536" i="1"/>
  <c r="AF536" i="1"/>
  <c r="AB536" i="1"/>
  <c r="AA536" i="1"/>
  <c r="Y536" i="1"/>
  <c r="V536" i="1"/>
  <c r="U536" i="1" s="1"/>
  <c r="AR535" i="1"/>
  <c r="AQ535" i="1"/>
  <c r="AP535" i="1"/>
  <c r="AO535" i="1"/>
  <c r="AM535" i="1"/>
  <c r="AL535" i="1"/>
  <c r="AK535" i="1"/>
  <c r="AJ535" i="1"/>
  <c r="AB535" i="1"/>
  <c r="AA535" i="1"/>
  <c r="Y535" i="1"/>
  <c r="V535" i="1"/>
  <c r="U535" i="1" s="1"/>
  <c r="AF535" i="1"/>
  <c r="AR534" i="1"/>
  <c r="AQ534" i="1"/>
  <c r="AP534" i="1"/>
  <c r="AO534" i="1"/>
  <c r="AM534" i="1"/>
  <c r="AL534" i="1"/>
  <c r="AK534" i="1"/>
  <c r="AJ534" i="1"/>
  <c r="AF534" i="1"/>
  <c r="AB534" i="1"/>
  <c r="AA534" i="1"/>
  <c r="Y534" i="1"/>
  <c r="V534" i="1"/>
  <c r="U534" i="1" s="1"/>
  <c r="AR533" i="1"/>
  <c r="AQ533" i="1"/>
  <c r="AP533" i="1"/>
  <c r="AO533" i="1"/>
  <c r="AM533" i="1"/>
  <c r="AL533" i="1"/>
  <c r="AK533" i="1"/>
  <c r="AJ533" i="1"/>
  <c r="AF533" i="1"/>
  <c r="AB533" i="1"/>
  <c r="AA533" i="1"/>
  <c r="Y533" i="1"/>
  <c r="V533" i="1"/>
  <c r="U533" i="1" s="1"/>
  <c r="AR532" i="1"/>
  <c r="AQ532" i="1"/>
  <c r="AP532" i="1"/>
  <c r="AO532" i="1"/>
  <c r="AM532" i="1"/>
  <c r="AL532" i="1"/>
  <c r="AK532" i="1"/>
  <c r="AJ532" i="1"/>
  <c r="AF532" i="1"/>
  <c r="AB532" i="1"/>
  <c r="AA532" i="1"/>
  <c r="Y532" i="1"/>
  <c r="V532" i="1"/>
  <c r="U532" i="1" s="1"/>
  <c r="AR531" i="1"/>
  <c r="AQ531" i="1"/>
  <c r="AP531" i="1"/>
  <c r="AO531" i="1"/>
  <c r="AM531" i="1"/>
  <c r="AL531" i="1"/>
  <c r="AK531" i="1"/>
  <c r="AJ531" i="1"/>
  <c r="AF531" i="1"/>
  <c r="AB531" i="1"/>
  <c r="AA531" i="1"/>
  <c r="Y531" i="1"/>
  <c r="V531" i="1"/>
  <c r="U531" i="1" s="1"/>
  <c r="AR530" i="1"/>
  <c r="AQ530" i="1"/>
  <c r="AP530" i="1"/>
  <c r="AO530" i="1"/>
  <c r="AM530" i="1"/>
  <c r="AL530" i="1"/>
  <c r="AK530" i="1"/>
  <c r="AJ530" i="1"/>
  <c r="AF530" i="1"/>
  <c r="AB530" i="1"/>
  <c r="AA530" i="1"/>
  <c r="Y530" i="1"/>
  <c r="V530" i="1"/>
  <c r="U530" i="1" s="1"/>
  <c r="AR529" i="1"/>
  <c r="AQ529" i="1"/>
  <c r="AP529" i="1"/>
  <c r="AO529" i="1"/>
  <c r="AM529" i="1"/>
  <c r="AL529" i="1"/>
  <c r="AK529" i="1"/>
  <c r="AJ529" i="1"/>
  <c r="AB529" i="1"/>
  <c r="AA529" i="1"/>
  <c r="Y529" i="1"/>
  <c r="V529" i="1"/>
  <c r="U529" i="1" s="1"/>
  <c r="AF529" i="1"/>
  <c r="AR528" i="1"/>
  <c r="AQ528" i="1"/>
  <c r="AP528" i="1"/>
  <c r="AO528" i="1"/>
  <c r="AM528" i="1"/>
  <c r="AL528" i="1"/>
  <c r="AK528" i="1"/>
  <c r="AJ528" i="1"/>
  <c r="AF528" i="1"/>
  <c r="AB528" i="1"/>
  <c r="AA528" i="1"/>
  <c r="Y528" i="1"/>
  <c r="V528" i="1"/>
  <c r="U528" i="1" s="1"/>
  <c r="F528" i="1"/>
  <c r="G528" i="1" s="1"/>
  <c r="AR527" i="1"/>
  <c r="AQ527" i="1"/>
  <c r="AP527" i="1"/>
  <c r="AO527" i="1"/>
  <c r="AM527" i="1"/>
  <c r="AL527" i="1"/>
  <c r="AK527" i="1"/>
  <c r="AJ527" i="1"/>
  <c r="AB527" i="1"/>
  <c r="AA527" i="1"/>
  <c r="Y527" i="1"/>
  <c r="V527" i="1"/>
  <c r="U527" i="1" s="1"/>
  <c r="F527" i="1"/>
  <c r="G527" i="1" s="1"/>
  <c r="AF527" i="1" s="1"/>
  <c r="AR526" i="1"/>
  <c r="AQ526" i="1"/>
  <c r="AP526" i="1"/>
  <c r="AO526" i="1"/>
  <c r="AM526" i="1"/>
  <c r="AL526" i="1"/>
  <c r="AK526" i="1"/>
  <c r="AJ526" i="1"/>
  <c r="AF526" i="1"/>
  <c r="AB526" i="1"/>
  <c r="AA526" i="1"/>
  <c r="Y526" i="1"/>
  <c r="V526" i="1"/>
  <c r="U526" i="1" s="1"/>
  <c r="AR525" i="1"/>
  <c r="AQ525" i="1"/>
  <c r="AP525" i="1"/>
  <c r="AO525" i="1"/>
  <c r="AM525" i="1"/>
  <c r="AL525" i="1"/>
  <c r="AK525" i="1"/>
  <c r="AJ525" i="1"/>
  <c r="AF525" i="1"/>
  <c r="AB525" i="1"/>
  <c r="AA525" i="1"/>
  <c r="Y525" i="1"/>
  <c r="V525" i="1"/>
  <c r="U525" i="1" s="1"/>
  <c r="AR524" i="1"/>
  <c r="AQ524" i="1"/>
  <c r="AP524" i="1"/>
  <c r="AO524" i="1"/>
  <c r="AM524" i="1"/>
  <c r="AL524" i="1"/>
  <c r="AK524" i="1"/>
  <c r="AJ524" i="1"/>
  <c r="AF524" i="1"/>
  <c r="AB524" i="1"/>
  <c r="AA524" i="1"/>
  <c r="Y524" i="1"/>
  <c r="V524" i="1"/>
  <c r="U524" i="1" s="1"/>
  <c r="AR523" i="1"/>
  <c r="AQ523" i="1"/>
  <c r="AP523" i="1"/>
  <c r="AO523" i="1"/>
  <c r="AM523" i="1"/>
  <c r="AL523" i="1"/>
  <c r="AK523" i="1"/>
  <c r="AJ523" i="1"/>
  <c r="AB523" i="1"/>
  <c r="AA523" i="1"/>
  <c r="Y523" i="1"/>
  <c r="V523" i="1"/>
  <c r="U523" i="1" s="1"/>
  <c r="AF523" i="1"/>
  <c r="AR522" i="1"/>
  <c r="AQ522" i="1"/>
  <c r="AP522" i="1"/>
  <c r="AO522" i="1"/>
  <c r="AM522" i="1"/>
  <c r="AL522" i="1"/>
  <c r="AK522" i="1"/>
  <c r="AJ522" i="1"/>
  <c r="AF522" i="1"/>
  <c r="AB522" i="1"/>
  <c r="AA522" i="1"/>
  <c r="Y522" i="1"/>
  <c r="V522" i="1"/>
  <c r="U522" i="1" s="1"/>
  <c r="AR521" i="1"/>
  <c r="AQ521" i="1"/>
  <c r="AP521" i="1"/>
  <c r="AO521" i="1"/>
  <c r="AM521" i="1"/>
  <c r="AL521" i="1"/>
  <c r="AK521" i="1"/>
  <c r="AJ521" i="1"/>
  <c r="AF521" i="1"/>
  <c r="AB521" i="1"/>
  <c r="AA521" i="1"/>
  <c r="Y521" i="1"/>
  <c r="V521" i="1"/>
  <c r="U521" i="1" s="1"/>
  <c r="AR520" i="1"/>
  <c r="AQ520" i="1"/>
  <c r="AP520" i="1"/>
  <c r="AO520" i="1"/>
  <c r="AM520" i="1"/>
  <c r="AL520" i="1"/>
  <c r="AK520" i="1"/>
  <c r="AJ520" i="1"/>
  <c r="AB520" i="1"/>
  <c r="AA520" i="1"/>
  <c r="Y520" i="1"/>
  <c r="V520" i="1"/>
  <c r="U520" i="1" s="1"/>
  <c r="AF520" i="1"/>
  <c r="AR519" i="1"/>
  <c r="AQ519" i="1"/>
  <c r="AP519" i="1"/>
  <c r="AO519" i="1"/>
  <c r="AM519" i="1"/>
  <c r="AL519" i="1"/>
  <c r="AK519" i="1"/>
  <c r="AJ519" i="1"/>
  <c r="AF519" i="1"/>
  <c r="AB519" i="1"/>
  <c r="AA519" i="1"/>
  <c r="Y519" i="1"/>
  <c r="V519" i="1"/>
  <c r="U519" i="1" s="1"/>
  <c r="AR518" i="1"/>
  <c r="AQ518" i="1"/>
  <c r="AP518" i="1"/>
  <c r="AO518" i="1"/>
  <c r="AM518" i="1"/>
  <c r="AL518" i="1"/>
  <c r="AK518" i="1"/>
  <c r="AJ518" i="1"/>
  <c r="AF518" i="1"/>
  <c r="AB518" i="1"/>
  <c r="AA518" i="1"/>
  <c r="Y518" i="1"/>
  <c r="V518" i="1"/>
  <c r="U518" i="1" s="1"/>
  <c r="AR516" i="1"/>
  <c r="AQ516" i="1"/>
  <c r="AP516" i="1"/>
  <c r="AO516" i="1"/>
  <c r="AM516" i="1"/>
  <c r="AL516" i="1"/>
  <c r="AK516" i="1"/>
  <c r="AJ516" i="1"/>
  <c r="AF516" i="1"/>
  <c r="AB516" i="1"/>
  <c r="AA516" i="1"/>
  <c r="Y516" i="1"/>
  <c r="V516" i="1"/>
  <c r="U516" i="1" s="1"/>
  <c r="AR515" i="1"/>
  <c r="AQ515" i="1"/>
  <c r="AP515" i="1"/>
  <c r="AO515" i="1"/>
  <c r="AM515" i="1"/>
  <c r="AL515" i="1"/>
  <c r="AK515" i="1"/>
  <c r="AJ515" i="1"/>
  <c r="AF515" i="1"/>
  <c r="AB515" i="1"/>
  <c r="AA515" i="1"/>
  <c r="Y515" i="1"/>
  <c r="V515" i="1"/>
  <c r="U515" i="1" s="1"/>
  <c r="AR514" i="1"/>
  <c r="AQ514" i="1"/>
  <c r="AP514" i="1"/>
  <c r="AO514" i="1"/>
  <c r="AM514" i="1"/>
  <c r="AL514" i="1"/>
  <c r="AK514" i="1"/>
  <c r="AJ514" i="1"/>
  <c r="AB514" i="1"/>
  <c r="AA514" i="1"/>
  <c r="Y514" i="1"/>
  <c r="V514" i="1"/>
  <c r="U514" i="1" s="1"/>
  <c r="AF514" i="1"/>
  <c r="AR513" i="1"/>
  <c r="AQ513" i="1"/>
  <c r="AP513" i="1"/>
  <c r="AO513" i="1"/>
  <c r="AM513" i="1"/>
  <c r="AL513" i="1"/>
  <c r="AK513" i="1"/>
  <c r="AJ513" i="1"/>
  <c r="AF513" i="1"/>
  <c r="AB513" i="1"/>
  <c r="AA513" i="1"/>
  <c r="Y513" i="1"/>
  <c r="V513" i="1"/>
  <c r="U513" i="1" s="1"/>
  <c r="AR512" i="1"/>
  <c r="AQ512" i="1"/>
  <c r="AP512" i="1"/>
  <c r="AO512" i="1"/>
  <c r="AM512" i="1"/>
  <c r="AL512" i="1"/>
  <c r="AK512" i="1"/>
  <c r="AJ512" i="1"/>
  <c r="AB512" i="1"/>
  <c r="AA512" i="1"/>
  <c r="Y512" i="1"/>
  <c r="V512" i="1"/>
  <c r="U512" i="1" s="1"/>
  <c r="AF512" i="1"/>
  <c r="AR511" i="1"/>
  <c r="AQ511" i="1"/>
  <c r="AP511" i="1"/>
  <c r="AO511" i="1"/>
  <c r="AM511" i="1"/>
  <c r="AL511" i="1"/>
  <c r="AK511" i="1"/>
  <c r="AJ511" i="1"/>
  <c r="AF511" i="1"/>
  <c r="AB511" i="1"/>
  <c r="AA511" i="1"/>
  <c r="Y511" i="1"/>
  <c r="V511" i="1"/>
  <c r="U511" i="1" s="1"/>
  <c r="AR510" i="1"/>
  <c r="AQ510" i="1"/>
  <c r="AP510" i="1"/>
  <c r="AO510" i="1"/>
  <c r="AM510" i="1"/>
  <c r="AL510" i="1"/>
  <c r="AK510" i="1"/>
  <c r="AJ510" i="1"/>
  <c r="AB510" i="1"/>
  <c r="AA510" i="1"/>
  <c r="Y510" i="1"/>
  <c r="V510" i="1"/>
  <c r="U510" i="1" s="1"/>
  <c r="AF510" i="1"/>
  <c r="AR509" i="1"/>
  <c r="AQ509" i="1"/>
  <c r="AP509" i="1"/>
  <c r="AO509" i="1"/>
  <c r="AM509" i="1"/>
  <c r="AL509" i="1"/>
  <c r="AK509" i="1"/>
  <c r="AJ509" i="1"/>
  <c r="AB509" i="1"/>
  <c r="AA509" i="1"/>
  <c r="Y509" i="1"/>
  <c r="V509" i="1"/>
  <c r="U509" i="1" s="1"/>
  <c r="AF509" i="1"/>
  <c r="AR508" i="1"/>
  <c r="AQ508" i="1"/>
  <c r="AP508" i="1"/>
  <c r="AO508" i="1"/>
  <c r="AM508" i="1"/>
  <c r="AL508" i="1"/>
  <c r="AK508" i="1"/>
  <c r="AJ508" i="1"/>
  <c r="AB508" i="1"/>
  <c r="AA508" i="1"/>
  <c r="Y508" i="1"/>
  <c r="V508" i="1"/>
  <c r="U508" i="1" s="1"/>
  <c r="AF508" i="1"/>
  <c r="AR507" i="1"/>
  <c r="AQ507" i="1"/>
  <c r="AP507" i="1"/>
  <c r="AO507" i="1"/>
  <c r="AM507" i="1"/>
  <c r="AL507" i="1"/>
  <c r="AK507" i="1"/>
  <c r="AJ507" i="1"/>
  <c r="AB507" i="1"/>
  <c r="AA507" i="1"/>
  <c r="Y507" i="1"/>
  <c r="V507" i="1"/>
  <c r="U507" i="1" s="1"/>
  <c r="AF507" i="1"/>
  <c r="AR506" i="1"/>
  <c r="AQ506" i="1"/>
  <c r="AP506" i="1"/>
  <c r="AO506" i="1"/>
  <c r="AM506" i="1"/>
  <c r="AL506" i="1"/>
  <c r="AK506" i="1"/>
  <c r="AJ506" i="1"/>
  <c r="AB506" i="1"/>
  <c r="AA506" i="1"/>
  <c r="V506" i="1"/>
  <c r="U506" i="1" s="1"/>
  <c r="Y506" i="1"/>
  <c r="AF506" i="1"/>
  <c r="AR505" i="1"/>
  <c r="AQ505" i="1"/>
  <c r="AP505" i="1"/>
  <c r="AO505" i="1"/>
  <c r="AM505" i="1"/>
  <c r="AL505" i="1"/>
  <c r="AK505" i="1"/>
  <c r="AJ505" i="1"/>
  <c r="AB505" i="1"/>
  <c r="AA505" i="1"/>
  <c r="Y505" i="1"/>
  <c r="V505" i="1"/>
  <c r="U505" i="1" s="1"/>
  <c r="AF505" i="1"/>
  <c r="AR504" i="1"/>
  <c r="AQ504" i="1"/>
  <c r="AP504" i="1"/>
  <c r="AO504" i="1"/>
  <c r="AM504" i="1"/>
  <c r="AL504" i="1"/>
  <c r="AK504" i="1"/>
  <c r="AJ504" i="1"/>
  <c r="AF504" i="1"/>
  <c r="AB504" i="1"/>
  <c r="AA504" i="1"/>
  <c r="Y504" i="1"/>
  <c r="V504" i="1"/>
  <c r="U504" i="1" s="1"/>
  <c r="AR503" i="1"/>
  <c r="AQ503" i="1"/>
  <c r="AP503" i="1"/>
  <c r="AO503" i="1"/>
  <c r="AM503" i="1"/>
  <c r="AL503" i="1"/>
  <c r="AK503" i="1"/>
  <c r="AJ503" i="1"/>
  <c r="AF503" i="1"/>
  <c r="AB503" i="1"/>
  <c r="AA503" i="1"/>
  <c r="Y503" i="1"/>
  <c r="V503" i="1"/>
  <c r="U503" i="1" s="1"/>
  <c r="AR502" i="1"/>
  <c r="AQ502" i="1"/>
  <c r="AP502" i="1"/>
  <c r="AO502" i="1"/>
  <c r="AM502" i="1"/>
  <c r="AL502" i="1"/>
  <c r="AK502" i="1"/>
  <c r="AJ502" i="1"/>
  <c r="AF502" i="1"/>
  <c r="AB502" i="1"/>
  <c r="AA502" i="1"/>
  <c r="Y502" i="1"/>
  <c r="V502" i="1"/>
  <c r="U502" i="1" s="1"/>
  <c r="F502" i="1"/>
  <c r="G502" i="1" s="1"/>
  <c r="AD542" i="1" l="1"/>
  <c r="AH542" i="1" s="1"/>
  <c r="AG542" i="1" s="1"/>
  <c r="AD506" i="1"/>
  <c r="AH506" i="1" s="1"/>
  <c r="AG506" i="1" s="1"/>
  <c r="AD540" i="1"/>
  <c r="AH540" i="1" s="1"/>
  <c r="AG540" i="1" s="1"/>
  <c r="AD541" i="1"/>
  <c r="AH541" i="1" s="1"/>
  <c r="AG541" i="1" s="1"/>
  <c r="AD544" i="1"/>
  <c r="AH544" i="1" s="1"/>
  <c r="AG544" i="1" s="1"/>
  <c r="AD533" i="1"/>
  <c r="AH533" i="1" s="1"/>
  <c r="AG533" i="1" s="1"/>
  <c r="AD513" i="1"/>
  <c r="AH513" i="1" s="1"/>
  <c r="AG513" i="1" s="1"/>
  <c r="AD509" i="1"/>
  <c r="AH509" i="1" s="1"/>
  <c r="AG509" i="1" s="1"/>
  <c r="AD525" i="1"/>
  <c r="AH525" i="1" s="1"/>
  <c r="AG525" i="1" s="1"/>
  <c r="AD526" i="1"/>
  <c r="AH526" i="1" s="1"/>
  <c r="AG526" i="1" s="1"/>
  <c r="AD519" i="1"/>
  <c r="AH519" i="1" s="1"/>
  <c r="AG519" i="1" s="1"/>
  <c r="AD520" i="1"/>
  <c r="AH520" i="1" s="1"/>
  <c r="AG520" i="1" s="1"/>
  <c r="AD536" i="1"/>
  <c r="AH536" i="1" s="1"/>
  <c r="AG536" i="1" s="1"/>
  <c r="AD502" i="1"/>
  <c r="AH502" i="1" s="1"/>
  <c r="AG502" i="1" s="1"/>
  <c r="AD537" i="1"/>
  <c r="AH537" i="1" s="1"/>
  <c r="AG537" i="1" s="1"/>
  <c r="AD522" i="1"/>
  <c r="AH522" i="1" s="1"/>
  <c r="AG522" i="1" s="1"/>
  <c r="AD528" i="1"/>
  <c r="AH528" i="1" s="1"/>
  <c r="AG528" i="1" s="1"/>
  <c r="AD504" i="1"/>
  <c r="AH504" i="1" s="1"/>
  <c r="AG504" i="1" s="1"/>
  <c r="AD510" i="1"/>
  <c r="AH510" i="1" s="1"/>
  <c r="AG510" i="1" s="1"/>
  <c r="AD527" i="1"/>
  <c r="AH527" i="1" s="1"/>
  <c r="AG527" i="1" s="1"/>
  <c r="AD535" i="1"/>
  <c r="AH535" i="1" s="1"/>
  <c r="AG535" i="1" s="1"/>
  <c r="AD505" i="1"/>
  <c r="AH505" i="1" s="1"/>
  <c r="AG505" i="1" s="1"/>
  <c r="AD543" i="1"/>
  <c r="AH543" i="1" s="1"/>
  <c r="AG543" i="1" s="1"/>
  <c r="AA545" i="1"/>
  <c r="Z545" i="1" s="1"/>
  <c r="AM545" i="1"/>
  <c r="AM546" i="1" s="1"/>
  <c r="AJ545" i="1"/>
  <c r="AJ546" i="1" s="1"/>
  <c r="AK545" i="1"/>
  <c r="AK546" i="1" s="1"/>
  <c r="AL545" i="1"/>
  <c r="AL546" i="1" s="1"/>
  <c r="AO545" i="1"/>
  <c r="AO546" i="1" s="1"/>
  <c r="AP545" i="1"/>
  <c r="AP546" i="1" s="1"/>
  <c r="AQ545" i="1"/>
  <c r="AQ546" i="1" s="1"/>
  <c r="AR545" i="1"/>
  <c r="AR546" i="1" s="1"/>
  <c r="AD529" i="1"/>
  <c r="AH529" i="1" s="1"/>
  <c r="AG529" i="1" s="1"/>
  <c r="AD530" i="1"/>
  <c r="AH530" i="1" s="1"/>
  <c r="AG530" i="1" s="1"/>
  <c r="AD531" i="1"/>
  <c r="AH531" i="1" s="1"/>
  <c r="AG531" i="1" s="1"/>
  <c r="AD538" i="1"/>
  <c r="AH538" i="1" s="1"/>
  <c r="AG538" i="1" s="1"/>
  <c r="AD532" i="1"/>
  <c r="AH532" i="1" s="1"/>
  <c r="AG532" i="1" s="1"/>
  <c r="AD539" i="1"/>
  <c r="AH539" i="1" s="1"/>
  <c r="AG539" i="1" s="1"/>
  <c r="AD534" i="1"/>
  <c r="AH534" i="1" s="1"/>
  <c r="AG534" i="1" s="1"/>
  <c r="AD512" i="1"/>
  <c r="AH512" i="1" s="1"/>
  <c r="AG512" i="1" s="1"/>
  <c r="AD507" i="1"/>
  <c r="AH507" i="1" s="1"/>
  <c r="AG507" i="1" s="1"/>
  <c r="AD523" i="1"/>
  <c r="AH523" i="1" s="1"/>
  <c r="AG523" i="1" s="1"/>
  <c r="AD508" i="1"/>
  <c r="AH508" i="1" s="1"/>
  <c r="AG508" i="1" s="1"/>
  <c r="AD514" i="1"/>
  <c r="AH514" i="1" s="1"/>
  <c r="AG514" i="1" s="1"/>
  <c r="AD515" i="1"/>
  <c r="AH515" i="1" s="1"/>
  <c r="AG515" i="1" s="1"/>
  <c r="AD524" i="1"/>
  <c r="AH524" i="1" s="1"/>
  <c r="AG524" i="1" s="1"/>
  <c r="AB545" i="1"/>
  <c r="AC545" i="1" s="1"/>
  <c r="AD516" i="1"/>
  <c r="AH516" i="1" s="1"/>
  <c r="AG516" i="1" s="1"/>
  <c r="AD503" i="1"/>
  <c r="AH503" i="1" s="1"/>
  <c r="AG503" i="1" s="1"/>
  <c r="AD518" i="1"/>
  <c r="AH518" i="1" s="1"/>
  <c r="AG518" i="1" s="1"/>
  <c r="AD511" i="1"/>
  <c r="AH511" i="1" s="1"/>
  <c r="AG511" i="1" s="1"/>
  <c r="AD521" i="1"/>
  <c r="AH521" i="1" s="1"/>
  <c r="AG521" i="1" s="1"/>
  <c r="AF545" i="1"/>
  <c r="E545" i="1"/>
  <c r="I545" i="1"/>
  <c r="K545" i="1" s="1"/>
  <c r="AS546" i="1" l="1"/>
  <c r="AN546" i="1"/>
  <c r="AN545" i="1"/>
  <c r="R545" i="1"/>
  <c r="AS545" i="1"/>
  <c r="AG545" i="1"/>
  <c r="N545" i="1" s="1"/>
  <c r="AH545" i="1"/>
  <c r="AI545" i="1" s="1"/>
  <c r="AR465" i="1"/>
  <c r="AQ465" i="1"/>
  <c r="AP465" i="1"/>
  <c r="AO465" i="1"/>
  <c r="AM465" i="1"/>
  <c r="AL465" i="1"/>
  <c r="AK465" i="1"/>
  <c r="AJ465" i="1"/>
  <c r="AB465" i="1"/>
  <c r="AA465" i="1"/>
  <c r="Y465" i="1"/>
  <c r="V465" i="1"/>
  <c r="U465" i="1" s="1"/>
  <c r="F465" i="1"/>
  <c r="G465" i="1" s="1"/>
  <c r="AF465" i="1" s="1"/>
  <c r="AD465" i="1" l="1"/>
  <c r="AH465" i="1" s="1"/>
  <c r="AG465" i="1" s="1"/>
  <c r="AR463" i="1"/>
  <c r="AQ463" i="1"/>
  <c r="AP463" i="1"/>
  <c r="AO463" i="1"/>
  <c r="AM463" i="1"/>
  <c r="AL463" i="1"/>
  <c r="AK463" i="1"/>
  <c r="AJ463" i="1"/>
  <c r="AB463" i="1"/>
  <c r="AA463" i="1"/>
  <c r="Y463" i="1"/>
  <c r="V463" i="1"/>
  <c r="U463" i="1" s="1"/>
  <c r="AF463" i="1"/>
  <c r="AD463" i="1" l="1"/>
  <c r="AH463" i="1" s="1"/>
  <c r="AG463" i="1" s="1"/>
  <c r="Q458" i="1"/>
  <c r="AR458" i="1"/>
  <c r="AQ458" i="1"/>
  <c r="AP458" i="1"/>
  <c r="AO458" i="1"/>
  <c r="AM458" i="1"/>
  <c r="AL458" i="1"/>
  <c r="AK458" i="1"/>
  <c r="AJ458" i="1"/>
  <c r="AB458" i="1"/>
  <c r="AA458" i="1"/>
  <c r="V458" i="1"/>
  <c r="U458" i="1" s="1"/>
  <c r="F458" i="1"/>
  <c r="G458" i="1" s="1"/>
  <c r="AF458" i="1" s="1"/>
  <c r="R458" i="1" l="1"/>
  <c r="Y458" i="1" s="1"/>
  <c r="AD458" i="1"/>
  <c r="AH458" i="1" s="1"/>
  <c r="AG458" i="1" s="1"/>
  <c r="F461" i="1"/>
  <c r="G461" i="1" s="1"/>
  <c r="H9" i="1" l="1"/>
  <c r="N9" i="1" s="1"/>
  <c r="V443" i="1" l="1"/>
  <c r="U443" i="1" s="1"/>
  <c r="F457" i="1" l="1"/>
  <c r="G457" i="1" s="1"/>
  <c r="Q427" i="1" l="1"/>
  <c r="Y427" i="1" s="1"/>
  <c r="AR427" i="1"/>
  <c r="AQ427" i="1"/>
  <c r="AP427" i="1"/>
  <c r="AO427" i="1"/>
  <c r="AM427" i="1"/>
  <c r="AL427" i="1"/>
  <c r="AK427" i="1"/>
  <c r="AJ427" i="1"/>
  <c r="AB427" i="1"/>
  <c r="AA427" i="1"/>
  <c r="V427" i="1"/>
  <c r="U427" i="1" s="1"/>
  <c r="F427" i="1"/>
  <c r="G427" i="1" s="1"/>
  <c r="AF427" i="1" s="1"/>
  <c r="AD427" i="1" l="1"/>
  <c r="AH427" i="1" s="1"/>
  <c r="AG427" i="1" s="1"/>
  <c r="AA408" i="1"/>
  <c r="D500" i="1"/>
  <c r="B500" i="1"/>
  <c r="D410" i="1"/>
  <c r="B410" i="1"/>
  <c r="B452" i="1"/>
  <c r="D452" i="1"/>
  <c r="F442" i="1"/>
  <c r="AA415" i="1" l="1"/>
  <c r="AA455" i="1" l="1"/>
  <c r="AA456" i="1"/>
  <c r="AA457" i="1"/>
  <c r="AA459" i="1"/>
  <c r="AA460" i="1"/>
  <c r="AA461" i="1"/>
  <c r="AA464" i="1"/>
  <c r="AA466" i="1"/>
  <c r="AA468" i="1"/>
  <c r="AA469" i="1"/>
  <c r="AA470" i="1"/>
  <c r="AA471" i="1"/>
  <c r="AA473" i="1"/>
  <c r="AA474" i="1"/>
  <c r="AA475" i="1"/>
  <c r="AA476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454" i="1"/>
  <c r="AA428" i="1"/>
  <c r="Q428" i="1"/>
  <c r="Y428" i="1" s="1"/>
  <c r="Y415" i="1"/>
  <c r="AA413" i="1"/>
  <c r="AA414" i="1"/>
  <c r="AA416" i="1"/>
  <c r="AA417" i="1"/>
  <c r="AA419" i="1"/>
  <c r="AA422" i="1"/>
  <c r="AA423" i="1"/>
  <c r="AA424" i="1"/>
  <c r="AA425" i="1"/>
  <c r="AA426" i="1"/>
  <c r="AA429" i="1"/>
  <c r="AA430" i="1"/>
  <c r="AA431" i="1"/>
  <c r="AA432" i="1"/>
  <c r="AA433" i="1"/>
  <c r="AA434" i="1"/>
  <c r="AA435" i="1"/>
  <c r="AA436" i="1"/>
  <c r="AA437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12" i="1"/>
  <c r="AA368" i="1"/>
  <c r="Y414" i="1"/>
  <c r="Y416" i="1"/>
  <c r="Y417" i="1"/>
  <c r="Y419" i="1"/>
  <c r="Y422" i="1"/>
  <c r="Y423" i="1"/>
  <c r="Y424" i="1"/>
  <c r="Y425" i="1"/>
  <c r="Y426" i="1"/>
  <c r="Y429" i="1"/>
  <c r="Y430" i="1"/>
  <c r="Y431" i="1"/>
  <c r="Y432" i="1"/>
  <c r="Y433" i="1"/>
  <c r="Y434" i="1"/>
  <c r="Y435" i="1"/>
  <c r="Y436" i="1"/>
  <c r="Y437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12" i="1"/>
  <c r="R413" i="1"/>
  <c r="Y413" i="1" s="1"/>
  <c r="AA402" i="1"/>
  <c r="AA403" i="1"/>
  <c r="AA404" i="1"/>
  <c r="AA405" i="1"/>
  <c r="AA406" i="1"/>
  <c r="AA407" i="1"/>
  <c r="AA401" i="1"/>
  <c r="AA319" i="1"/>
  <c r="H10" i="1" l="1"/>
  <c r="P7" i="1"/>
  <c r="P438" i="1" l="1"/>
  <c r="R438" i="1" s="1"/>
  <c r="AA438" i="1" s="1"/>
  <c r="Y438" i="1" l="1"/>
  <c r="Q418" i="1"/>
  <c r="R418" i="1" s="1"/>
  <c r="AA418" i="1" l="1"/>
  <c r="Y418" i="1"/>
  <c r="Q420" i="1"/>
  <c r="R420" i="1" s="1"/>
  <c r="K3" i="1"/>
  <c r="K4" i="1" s="1"/>
  <c r="AA420" i="1" l="1"/>
  <c r="Y420" i="1"/>
  <c r="AR499" i="1"/>
  <c r="AQ499" i="1"/>
  <c r="AP499" i="1"/>
  <c r="AO499" i="1"/>
  <c r="AM499" i="1"/>
  <c r="AL499" i="1"/>
  <c r="AK499" i="1"/>
  <c r="AJ499" i="1"/>
  <c r="AF499" i="1"/>
  <c r="AB499" i="1"/>
  <c r="Y499" i="1"/>
  <c r="V499" i="1"/>
  <c r="U499" i="1" s="1"/>
  <c r="F499" i="1"/>
  <c r="G499" i="1" s="1"/>
  <c r="AR498" i="1"/>
  <c r="AQ498" i="1"/>
  <c r="AP498" i="1"/>
  <c r="AO498" i="1"/>
  <c r="AM498" i="1"/>
  <c r="AL498" i="1"/>
  <c r="AK498" i="1"/>
  <c r="AJ498" i="1"/>
  <c r="AF498" i="1"/>
  <c r="AB498" i="1"/>
  <c r="Y498" i="1"/>
  <c r="V498" i="1"/>
  <c r="U498" i="1" s="1"/>
  <c r="F498" i="1"/>
  <c r="G498" i="1" s="1"/>
  <c r="AR497" i="1"/>
  <c r="AQ497" i="1"/>
  <c r="AP497" i="1"/>
  <c r="AO497" i="1"/>
  <c r="AM497" i="1"/>
  <c r="AL497" i="1"/>
  <c r="AK497" i="1"/>
  <c r="AJ497" i="1"/>
  <c r="AF497" i="1"/>
  <c r="AB497" i="1"/>
  <c r="Y497" i="1"/>
  <c r="V497" i="1"/>
  <c r="U497" i="1" s="1"/>
  <c r="F497" i="1"/>
  <c r="G497" i="1" s="1"/>
  <c r="AR496" i="1"/>
  <c r="AQ496" i="1"/>
  <c r="AP496" i="1"/>
  <c r="AO496" i="1"/>
  <c r="AM496" i="1"/>
  <c r="AL496" i="1"/>
  <c r="AK496" i="1"/>
  <c r="AJ496" i="1"/>
  <c r="AF496" i="1"/>
  <c r="AB496" i="1"/>
  <c r="Y496" i="1"/>
  <c r="V496" i="1"/>
  <c r="U496" i="1" s="1"/>
  <c r="F496" i="1"/>
  <c r="G496" i="1" s="1"/>
  <c r="AR495" i="1"/>
  <c r="AQ495" i="1"/>
  <c r="AP495" i="1"/>
  <c r="AO495" i="1"/>
  <c r="AM495" i="1"/>
  <c r="AL495" i="1"/>
  <c r="AK495" i="1"/>
  <c r="AJ495" i="1"/>
  <c r="AF495" i="1"/>
  <c r="AB495" i="1"/>
  <c r="Y495" i="1"/>
  <c r="V495" i="1"/>
  <c r="U495" i="1" s="1"/>
  <c r="F495" i="1"/>
  <c r="G495" i="1" s="1"/>
  <c r="AR494" i="1"/>
  <c r="AQ494" i="1"/>
  <c r="AP494" i="1"/>
  <c r="AO494" i="1"/>
  <c r="AM494" i="1"/>
  <c r="AL494" i="1"/>
  <c r="AK494" i="1"/>
  <c r="AJ494" i="1"/>
  <c r="AF494" i="1"/>
  <c r="AB494" i="1"/>
  <c r="Y494" i="1"/>
  <c r="V494" i="1"/>
  <c r="U494" i="1" s="1"/>
  <c r="F494" i="1"/>
  <c r="G494" i="1" s="1"/>
  <c r="AR493" i="1"/>
  <c r="AQ493" i="1"/>
  <c r="AP493" i="1"/>
  <c r="AO493" i="1"/>
  <c r="AM493" i="1"/>
  <c r="AL493" i="1"/>
  <c r="AK493" i="1"/>
  <c r="AJ493" i="1"/>
  <c r="AB493" i="1"/>
  <c r="Y493" i="1"/>
  <c r="V493" i="1"/>
  <c r="U493" i="1" s="1"/>
  <c r="F493" i="1"/>
  <c r="G493" i="1" s="1"/>
  <c r="AF493" i="1" s="1"/>
  <c r="AR492" i="1"/>
  <c r="AQ492" i="1"/>
  <c r="AP492" i="1"/>
  <c r="AO492" i="1"/>
  <c r="AM492" i="1"/>
  <c r="AL492" i="1"/>
  <c r="AK492" i="1"/>
  <c r="AJ492" i="1"/>
  <c r="AB492" i="1"/>
  <c r="Y492" i="1"/>
  <c r="V492" i="1"/>
  <c r="U492" i="1" s="1"/>
  <c r="F492" i="1"/>
  <c r="G492" i="1" s="1"/>
  <c r="AF492" i="1" s="1"/>
  <c r="AR491" i="1"/>
  <c r="AQ491" i="1"/>
  <c r="AP491" i="1"/>
  <c r="AO491" i="1"/>
  <c r="AM491" i="1"/>
  <c r="AL491" i="1"/>
  <c r="AK491" i="1"/>
  <c r="AJ491" i="1"/>
  <c r="AF491" i="1"/>
  <c r="AB491" i="1"/>
  <c r="Y491" i="1"/>
  <c r="V491" i="1"/>
  <c r="U491" i="1" s="1"/>
  <c r="F491" i="1"/>
  <c r="G491" i="1" s="1"/>
  <c r="AR490" i="1"/>
  <c r="AQ490" i="1"/>
  <c r="AP490" i="1"/>
  <c r="AO490" i="1"/>
  <c r="AM490" i="1"/>
  <c r="AL490" i="1"/>
  <c r="AK490" i="1"/>
  <c r="AJ490" i="1"/>
  <c r="AB490" i="1"/>
  <c r="Y490" i="1"/>
  <c r="V490" i="1"/>
  <c r="U490" i="1" s="1"/>
  <c r="F490" i="1"/>
  <c r="G490" i="1" s="1"/>
  <c r="AF490" i="1" s="1"/>
  <c r="AR489" i="1"/>
  <c r="AQ489" i="1"/>
  <c r="AP489" i="1"/>
  <c r="AO489" i="1"/>
  <c r="AM489" i="1"/>
  <c r="AL489" i="1"/>
  <c r="AK489" i="1"/>
  <c r="AJ489" i="1"/>
  <c r="AF489" i="1"/>
  <c r="AB489" i="1"/>
  <c r="Y489" i="1"/>
  <c r="V489" i="1"/>
  <c r="U489" i="1" s="1"/>
  <c r="AR488" i="1"/>
  <c r="AQ488" i="1"/>
  <c r="AP488" i="1"/>
  <c r="AO488" i="1"/>
  <c r="AM488" i="1"/>
  <c r="AL488" i="1"/>
  <c r="AK488" i="1"/>
  <c r="AJ488" i="1"/>
  <c r="AB488" i="1"/>
  <c r="Y488" i="1"/>
  <c r="V488" i="1"/>
  <c r="U488" i="1" s="1"/>
  <c r="F488" i="1"/>
  <c r="G488" i="1" s="1"/>
  <c r="AF488" i="1" s="1"/>
  <c r="AR487" i="1"/>
  <c r="AQ487" i="1"/>
  <c r="AP487" i="1"/>
  <c r="AO487" i="1"/>
  <c r="AM487" i="1"/>
  <c r="AL487" i="1"/>
  <c r="AK487" i="1"/>
  <c r="AJ487" i="1"/>
  <c r="AB487" i="1"/>
  <c r="Y487" i="1"/>
  <c r="V487" i="1"/>
  <c r="U487" i="1" s="1"/>
  <c r="F487" i="1"/>
  <c r="G487" i="1" s="1"/>
  <c r="AF487" i="1" s="1"/>
  <c r="AR486" i="1"/>
  <c r="AQ486" i="1"/>
  <c r="AP486" i="1"/>
  <c r="AO486" i="1"/>
  <c r="AM486" i="1"/>
  <c r="AL486" i="1"/>
  <c r="AK486" i="1"/>
  <c r="AJ486" i="1"/>
  <c r="AF486" i="1"/>
  <c r="AB486" i="1"/>
  <c r="Y486" i="1"/>
  <c r="V486" i="1"/>
  <c r="U486" i="1" s="1"/>
  <c r="AR485" i="1"/>
  <c r="AQ485" i="1"/>
  <c r="AP485" i="1"/>
  <c r="AO485" i="1"/>
  <c r="AM485" i="1"/>
  <c r="AL485" i="1"/>
  <c r="AK485" i="1"/>
  <c r="AJ485" i="1"/>
  <c r="AF485" i="1"/>
  <c r="AB485" i="1"/>
  <c r="Y485" i="1"/>
  <c r="V485" i="1"/>
  <c r="U485" i="1" s="1"/>
  <c r="F485" i="1"/>
  <c r="G485" i="1" s="1"/>
  <c r="AR484" i="1"/>
  <c r="AQ484" i="1"/>
  <c r="AP484" i="1"/>
  <c r="AO484" i="1"/>
  <c r="AM484" i="1"/>
  <c r="AL484" i="1"/>
  <c r="AK484" i="1"/>
  <c r="AJ484" i="1"/>
  <c r="AB484" i="1"/>
  <c r="Y484" i="1"/>
  <c r="V484" i="1"/>
  <c r="U484" i="1" s="1"/>
  <c r="F484" i="1"/>
  <c r="AR483" i="1"/>
  <c r="AQ483" i="1"/>
  <c r="AP483" i="1"/>
  <c r="AO483" i="1"/>
  <c r="AM483" i="1"/>
  <c r="AL483" i="1"/>
  <c r="AK483" i="1"/>
  <c r="AJ483" i="1"/>
  <c r="AF483" i="1"/>
  <c r="AB483" i="1"/>
  <c r="Y483" i="1"/>
  <c r="V483" i="1"/>
  <c r="U483" i="1" s="1"/>
  <c r="F483" i="1"/>
  <c r="G483" i="1" s="1"/>
  <c r="AR482" i="1"/>
  <c r="AQ482" i="1"/>
  <c r="AP482" i="1"/>
  <c r="AO482" i="1"/>
  <c r="AM482" i="1"/>
  <c r="AL482" i="1"/>
  <c r="AK482" i="1"/>
  <c r="AJ482" i="1"/>
  <c r="AF482" i="1"/>
  <c r="AB482" i="1"/>
  <c r="Y482" i="1"/>
  <c r="V482" i="1"/>
  <c r="U482" i="1" s="1"/>
  <c r="F482" i="1"/>
  <c r="G482" i="1" s="1"/>
  <c r="AR481" i="1"/>
  <c r="AQ481" i="1"/>
  <c r="AP481" i="1"/>
  <c r="AO481" i="1"/>
  <c r="AM481" i="1"/>
  <c r="AL481" i="1"/>
  <c r="AK481" i="1"/>
  <c r="AJ481" i="1"/>
  <c r="AB481" i="1"/>
  <c r="Y481" i="1"/>
  <c r="V481" i="1"/>
  <c r="U481" i="1" s="1"/>
  <c r="F481" i="1"/>
  <c r="G481" i="1" s="1"/>
  <c r="AF481" i="1" s="1"/>
  <c r="AR480" i="1"/>
  <c r="AQ480" i="1"/>
  <c r="AP480" i="1"/>
  <c r="AO480" i="1"/>
  <c r="AM480" i="1"/>
  <c r="AL480" i="1"/>
  <c r="AK480" i="1"/>
  <c r="AJ480" i="1"/>
  <c r="AF480" i="1"/>
  <c r="AB480" i="1"/>
  <c r="Y480" i="1"/>
  <c r="V480" i="1"/>
  <c r="U480" i="1" s="1"/>
  <c r="F480" i="1"/>
  <c r="G480" i="1" s="1"/>
  <c r="AR479" i="1"/>
  <c r="AQ479" i="1"/>
  <c r="AP479" i="1"/>
  <c r="AO479" i="1"/>
  <c r="AM479" i="1"/>
  <c r="AL479" i="1"/>
  <c r="AK479" i="1"/>
  <c r="AJ479" i="1"/>
  <c r="AF479" i="1"/>
  <c r="AB479" i="1"/>
  <c r="Y479" i="1"/>
  <c r="V479" i="1"/>
  <c r="U479" i="1" s="1"/>
  <c r="F479" i="1"/>
  <c r="G479" i="1" s="1"/>
  <c r="AR478" i="1"/>
  <c r="AQ478" i="1"/>
  <c r="AP478" i="1"/>
  <c r="AO478" i="1"/>
  <c r="AM478" i="1"/>
  <c r="AL478" i="1"/>
  <c r="AK478" i="1"/>
  <c r="AJ478" i="1"/>
  <c r="AB478" i="1"/>
  <c r="Y478" i="1"/>
  <c r="V478" i="1"/>
  <c r="U478" i="1" s="1"/>
  <c r="F478" i="1"/>
  <c r="G478" i="1" s="1"/>
  <c r="AF478" i="1" s="1"/>
  <c r="AR476" i="1"/>
  <c r="AQ476" i="1"/>
  <c r="AP476" i="1"/>
  <c r="AO476" i="1"/>
  <c r="AM476" i="1"/>
  <c r="AL476" i="1"/>
  <c r="AK476" i="1"/>
  <c r="AJ476" i="1"/>
  <c r="AF476" i="1"/>
  <c r="AB476" i="1"/>
  <c r="Y476" i="1"/>
  <c r="V476" i="1"/>
  <c r="U476" i="1" s="1"/>
  <c r="AR475" i="1"/>
  <c r="AQ475" i="1"/>
  <c r="AP475" i="1"/>
  <c r="AO475" i="1"/>
  <c r="AM475" i="1"/>
  <c r="AL475" i="1"/>
  <c r="AK475" i="1"/>
  <c r="AJ475" i="1"/>
  <c r="AF475" i="1"/>
  <c r="AB475" i="1"/>
  <c r="Y475" i="1"/>
  <c r="V475" i="1"/>
  <c r="U475" i="1" s="1"/>
  <c r="AR474" i="1"/>
  <c r="AQ474" i="1"/>
  <c r="AP474" i="1"/>
  <c r="AO474" i="1"/>
  <c r="AM474" i="1"/>
  <c r="AL474" i="1"/>
  <c r="AK474" i="1"/>
  <c r="AJ474" i="1"/>
  <c r="AB474" i="1"/>
  <c r="Y474" i="1"/>
  <c r="V474" i="1"/>
  <c r="U474" i="1" s="1"/>
  <c r="F474" i="1"/>
  <c r="G474" i="1" s="1"/>
  <c r="AF474" i="1" s="1"/>
  <c r="AR473" i="1"/>
  <c r="AQ473" i="1"/>
  <c r="AP473" i="1"/>
  <c r="AO473" i="1"/>
  <c r="AM473" i="1"/>
  <c r="AL473" i="1"/>
  <c r="AK473" i="1"/>
  <c r="AJ473" i="1"/>
  <c r="AB473" i="1"/>
  <c r="Y473" i="1"/>
  <c r="V473" i="1"/>
  <c r="U473" i="1" s="1"/>
  <c r="AF473" i="1"/>
  <c r="AR471" i="1"/>
  <c r="AQ471" i="1"/>
  <c r="AP471" i="1"/>
  <c r="AO471" i="1"/>
  <c r="AM471" i="1"/>
  <c r="AL471" i="1"/>
  <c r="AK471" i="1"/>
  <c r="AJ471" i="1"/>
  <c r="AB471" i="1"/>
  <c r="Y471" i="1"/>
  <c r="V471" i="1"/>
  <c r="U471" i="1" s="1"/>
  <c r="F471" i="1"/>
  <c r="G471" i="1" s="1"/>
  <c r="AF471" i="1" s="1"/>
  <c r="AR470" i="1"/>
  <c r="AQ470" i="1"/>
  <c r="AP470" i="1"/>
  <c r="AO470" i="1"/>
  <c r="AM470" i="1"/>
  <c r="AL470" i="1"/>
  <c r="AK470" i="1"/>
  <c r="AJ470" i="1"/>
  <c r="AB470" i="1"/>
  <c r="Y470" i="1"/>
  <c r="V470" i="1"/>
  <c r="U470" i="1" s="1"/>
  <c r="F470" i="1"/>
  <c r="G470" i="1" s="1"/>
  <c r="AF470" i="1" s="1"/>
  <c r="AR469" i="1"/>
  <c r="AQ469" i="1"/>
  <c r="AP469" i="1"/>
  <c r="AO469" i="1"/>
  <c r="AM469" i="1"/>
  <c r="AL469" i="1"/>
  <c r="AK469" i="1"/>
  <c r="AJ469" i="1"/>
  <c r="AB469" i="1"/>
  <c r="Y469" i="1"/>
  <c r="V469" i="1"/>
  <c r="U469" i="1" s="1"/>
  <c r="F469" i="1"/>
  <c r="G469" i="1" s="1"/>
  <c r="AF469" i="1" s="1"/>
  <c r="AR468" i="1"/>
  <c r="AQ468" i="1"/>
  <c r="AP468" i="1"/>
  <c r="AO468" i="1"/>
  <c r="AM468" i="1"/>
  <c r="AL468" i="1"/>
  <c r="AK468" i="1"/>
  <c r="AJ468" i="1"/>
  <c r="AB468" i="1"/>
  <c r="Y468" i="1"/>
  <c r="V468" i="1"/>
  <c r="U468" i="1" s="1"/>
  <c r="AF468" i="1"/>
  <c r="AR466" i="1"/>
  <c r="AQ466" i="1"/>
  <c r="AP466" i="1"/>
  <c r="AO466" i="1"/>
  <c r="AM466" i="1"/>
  <c r="AL466" i="1"/>
  <c r="AK466" i="1"/>
  <c r="AJ466" i="1"/>
  <c r="AB466" i="1"/>
  <c r="Y466" i="1"/>
  <c r="V466" i="1"/>
  <c r="U466" i="1" s="1"/>
  <c r="F466" i="1"/>
  <c r="G466" i="1" s="1"/>
  <c r="AF466" i="1" s="1"/>
  <c r="AR464" i="1"/>
  <c r="AQ464" i="1"/>
  <c r="AP464" i="1"/>
  <c r="AO464" i="1"/>
  <c r="AM464" i="1"/>
  <c r="AL464" i="1"/>
  <c r="AK464" i="1"/>
  <c r="AJ464" i="1"/>
  <c r="AB464" i="1"/>
  <c r="Y464" i="1"/>
  <c r="V464" i="1"/>
  <c r="U464" i="1" s="1"/>
  <c r="AF464" i="1"/>
  <c r="AR461" i="1"/>
  <c r="AQ461" i="1"/>
  <c r="AP461" i="1"/>
  <c r="AO461" i="1"/>
  <c r="AM461" i="1"/>
  <c r="AL461" i="1"/>
  <c r="AK461" i="1"/>
  <c r="AJ461" i="1"/>
  <c r="AF461" i="1"/>
  <c r="AB461" i="1"/>
  <c r="Y461" i="1"/>
  <c r="V461" i="1"/>
  <c r="U461" i="1" s="1"/>
  <c r="AR460" i="1"/>
  <c r="AQ460" i="1"/>
  <c r="AP460" i="1"/>
  <c r="AO460" i="1"/>
  <c r="AM460" i="1"/>
  <c r="AL460" i="1"/>
  <c r="AK460" i="1"/>
  <c r="AJ460" i="1"/>
  <c r="AB460" i="1"/>
  <c r="Y460" i="1"/>
  <c r="V460" i="1"/>
  <c r="U460" i="1" s="1"/>
  <c r="F460" i="1"/>
  <c r="G460" i="1" s="1"/>
  <c r="AF460" i="1" s="1"/>
  <c r="AR459" i="1"/>
  <c r="AQ459" i="1"/>
  <c r="AP459" i="1"/>
  <c r="AO459" i="1"/>
  <c r="AM459" i="1"/>
  <c r="AL459" i="1"/>
  <c r="AK459" i="1"/>
  <c r="AJ459" i="1"/>
  <c r="AB459" i="1"/>
  <c r="Y459" i="1"/>
  <c r="V459" i="1"/>
  <c r="U459" i="1" s="1"/>
  <c r="F459" i="1"/>
  <c r="G459" i="1" s="1"/>
  <c r="AF459" i="1" s="1"/>
  <c r="AR457" i="1"/>
  <c r="AQ457" i="1"/>
  <c r="AP457" i="1"/>
  <c r="AO457" i="1"/>
  <c r="AM457" i="1"/>
  <c r="AL457" i="1"/>
  <c r="AK457" i="1"/>
  <c r="AJ457" i="1"/>
  <c r="AB457" i="1"/>
  <c r="Y457" i="1"/>
  <c r="V457" i="1"/>
  <c r="U457" i="1" s="1"/>
  <c r="AF457" i="1"/>
  <c r="AR456" i="1"/>
  <c r="AQ456" i="1"/>
  <c r="AP456" i="1"/>
  <c r="AO456" i="1"/>
  <c r="AM456" i="1"/>
  <c r="AL456" i="1"/>
  <c r="AK456" i="1"/>
  <c r="AJ456" i="1"/>
  <c r="AB456" i="1"/>
  <c r="Y456" i="1"/>
  <c r="V456" i="1"/>
  <c r="U456" i="1" s="1"/>
  <c r="F456" i="1"/>
  <c r="G456" i="1" s="1"/>
  <c r="AF456" i="1" s="1"/>
  <c r="AR455" i="1"/>
  <c r="AQ455" i="1"/>
  <c r="AP455" i="1"/>
  <c r="AO455" i="1"/>
  <c r="AM455" i="1"/>
  <c r="AL455" i="1"/>
  <c r="AK455" i="1"/>
  <c r="AJ455" i="1"/>
  <c r="AF455" i="1"/>
  <c r="AB455" i="1"/>
  <c r="Y455" i="1"/>
  <c r="V455" i="1"/>
  <c r="U455" i="1" s="1"/>
  <c r="AR454" i="1"/>
  <c r="AQ454" i="1"/>
  <c r="AP454" i="1"/>
  <c r="AO454" i="1"/>
  <c r="AM454" i="1"/>
  <c r="AL454" i="1"/>
  <c r="AK454" i="1"/>
  <c r="AJ454" i="1"/>
  <c r="AB454" i="1"/>
  <c r="Y454" i="1"/>
  <c r="V454" i="1"/>
  <c r="U454" i="1" s="1"/>
  <c r="F454" i="1"/>
  <c r="G454" i="1" s="1"/>
  <c r="AF454" i="1" s="1"/>
  <c r="AD498" i="1" l="1"/>
  <c r="AH498" i="1" s="1"/>
  <c r="AG498" i="1" s="1"/>
  <c r="AD499" i="1"/>
  <c r="AH499" i="1" s="1"/>
  <c r="AG499" i="1" s="1"/>
  <c r="AD486" i="1"/>
  <c r="AH486" i="1" s="1"/>
  <c r="AG486" i="1" s="1"/>
  <c r="AD496" i="1"/>
  <c r="AH496" i="1" s="1"/>
  <c r="AG496" i="1" s="1"/>
  <c r="AD470" i="1"/>
  <c r="AD495" i="1"/>
  <c r="AH495" i="1" s="1"/>
  <c r="AG495" i="1" s="1"/>
  <c r="AD497" i="1"/>
  <c r="AH497" i="1" s="1"/>
  <c r="AG497" i="1" s="1"/>
  <c r="G484" i="1"/>
  <c r="AF484" i="1" s="1"/>
  <c r="AF500" i="1" s="1"/>
  <c r="E500" i="1"/>
  <c r="AD479" i="1"/>
  <c r="AH479" i="1" s="1"/>
  <c r="AG479" i="1" s="1"/>
  <c r="AD454" i="1"/>
  <c r="AH454" i="1" s="1"/>
  <c r="AG454" i="1" s="1"/>
  <c r="AD485" i="1"/>
  <c r="AH485" i="1" s="1"/>
  <c r="AG485" i="1" s="1"/>
  <c r="AD493" i="1"/>
  <c r="AH493" i="1" s="1"/>
  <c r="AG493" i="1" s="1"/>
  <c r="AD488" i="1"/>
  <c r="AH488" i="1" s="1"/>
  <c r="AG488" i="1" s="1"/>
  <c r="AD471" i="1"/>
  <c r="AH471" i="1" s="1"/>
  <c r="AG471" i="1" s="1"/>
  <c r="AD474" i="1"/>
  <c r="AH474" i="1" s="1"/>
  <c r="AG474" i="1" s="1"/>
  <c r="AD481" i="1"/>
  <c r="AH481" i="1" s="1"/>
  <c r="AG481" i="1" s="1"/>
  <c r="AD455" i="1"/>
  <c r="AH455" i="1" s="1"/>
  <c r="AG455" i="1" s="1"/>
  <c r="AD468" i="1"/>
  <c r="AH468" i="1" s="1"/>
  <c r="AG468" i="1" s="1"/>
  <c r="AD475" i="1"/>
  <c r="AH475" i="1" s="1"/>
  <c r="AG475" i="1" s="1"/>
  <c r="AD457" i="1"/>
  <c r="AH457" i="1" s="1"/>
  <c r="AG457" i="1" s="1"/>
  <c r="AD490" i="1"/>
  <c r="AH490" i="1" s="1"/>
  <c r="AG490" i="1" s="1"/>
  <c r="AD460" i="1"/>
  <c r="AH460" i="1" s="1"/>
  <c r="AG460" i="1" s="1"/>
  <c r="AD461" i="1"/>
  <c r="AH461" i="1" s="1"/>
  <c r="AG461" i="1" s="1"/>
  <c r="AD476" i="1"/>
  <c r="AH476" i="1" s="1"/>
  <c r="AG476" i="1" s="1"/>
  <c r="AD464" i="1"/>
  <c r="AH464" i="1" s="1"/>
  <c r="AG464" i="1" s="1"/>
  <c r="AD473" i="1"/>
  <c r="AH473" i="1" s="1"/>
  <c r="AG473" i="1" s="1"/>
  <c r="AD482" i="1"/>
  <c r="AH482" i="1" s="1"/>
  <c r="AG482" i="1" s="1"/>
  <c r="AD491" i="1"/>
  <c r="AH491" i="1" s="1"/>
  <c r="AG491" i="1" s="1"/>
  <c r="AD456" i="1"/>
  <c r="AH456" i="1" s="1"/>
  <c r="AG456" i="1" s="1"/>
  <c r="AD466" i="1"/>
  <c r="AH466" i="1" s="1"/>
  <c r="AG466" i="1" s="1"/>
  <c r="AD478" i="1"/>
  <c r="AH478" i="1" s="1"/>
  <c r="AG478" i="1" s="1"/>
  <c r="AD483" i="1"/>
  <c r="AH483" i="1" s="1"/>
  <c r="AG483" i="1" s="1"/>
  <c r="AD487" i="1"/>
  <c r="AH487" i="1" s="1"/>
  <c r="AG487" i="1" s="1"/>
  <c r="AD492" i="1"/>
  <c r="AH492" i="1" s="1"/>
  <c r="AG492" i="1" s="1"/>
  <c r="AD459" i="1"/>
  <c r="AH459" i="1" s="1"/>
  <c r="AG459" i="1" s="1"/>
  <c r="AD480" i="1"/>
  <c r="AH480" i="1" s="1"/>
  <c r="AG480" i="1" s="1"/>
  <c r="AD484" i="1"/>
  <c r="AD489" i="1"/>
  <c r="AH489" i="1" s="1"/>
  <c r="AG489" i="1" s="1"/>
  <c r="AD494" i="1"/>
  <c r="AH494" i="1" s="1"/>
  <c r="AG494" i="1" s="1"/>
  <c r="AM500" i="1"/>
  <c r="AM501" i="1" s="1"/>
  <c r="AP500" i="1"/>
  <c r="AP501" i="1" s="1"/>
  <c r="AD469" i="1"/>
  <c r="AH469" i="1" s="1"/>
  <c r="AG469" i="1" s="1"/>
  <c r="AB500" i="1"/>
  <c r="AC500" i="1" s="1"/>
  <c r="AO500" i="1"/>
  <c r="AO501" i="1" s="1"/>
  <c r="AQ500" i="1"/>
  <c r="AQ501" i="1" s="1"/>
  <c r="AR500" i="1"/>
  <c r="AR501" i="1" s="1"/>
  <c r="AK500" i="1"/>
  <c r="AK501" i="1" s="1"/>
  <c r="AJ500" i="1"/>
  <c r="AJ501" i="1" s="1"/>
  <c r="AL500" i="1"/>
  <c r="AL501" i="1" s="1"/>
  <c r="AH470" i="1"/>
  <c r="AG470" i="1" s="1"/>
  <c r="AA500" i="1"/>
  <c r="R500" i="1" s="1"/>
  <c r="I500" i="1"/>
  <c r="K500" i="1" s="1"/>
  <c r="AS501" i="1" l="1"/>
  <c r="AN501" i="1"/>
  <c r="AH484" i="1"/>
  <c r="AG484" i="1" s="1"/>
  <c r="AG500" i="1" s="1"/>
  <c r="N500" i="1" s="1"/>
  <c r="AS500" i="1"/>
  <c r="AN500" i="1"/>
  <c r="Z500" i="1"/>
  <c r="Q405" i="1"/>
  <c r="AH500" i="1" l="1"/>
  <c r="AI500" i="1" s="1"/>
  <c r="AR402" i="1"/>
  <c r="AQ402" i="1"/>
  <c r="AP402" i="1"/>
  <c r="AO402" i="1"/>
  <c r="AM402" i="1"/>
  <c r="AL402" i="1"/>
  <c r="AK402" i="1"/>
  <c r="AJ402" i="1"/>
  <c r="AF402" i="1"/>
  <c r="AB402" i="1"/>
  <c r="V402" i="1"/>
  <c r="U402" i="1" s="1"/>
  <c r="AD402" i="1" s="1"/>
  <c r="AH402" i="1" s="1"/>
  <c r="AG402" i="1" s="1"/>
  <c r="R402" i="1"/>
  <c r="Q402" i="1"/>
  <c r="F402" i="1"/>
  <c r="G402" i="1" s="1"/>
  <c r="Y402" i="1" l="1"/>
  <c r="Q401" i="1"/>
  <c r="AR394" i="1" l="1"/>
  <c r="AQ394" i="1"/>
  <c r="AP394" i="1"/>
  <c r="AO394" i="1"/>
  <c r="AM394" i="1"/>
  <c r="AL394" i="1"/>
  <c r="AK394" i="1"/>
  <c r="AJ394" i="1"/>
  <c r="AB394" i="1"/>
  <c r="AA394" i="1"/>
  <c r="V394" i="1"/>
  <c r="U394" i="1" s="1"/>
  <c r="AD394" i="1" s="1"/>
  <c r="F394" i="1"/>
  <c r="G394" i="1" s="1"/>
  <c r="AF394" i="1" s="1"/>
  <c r="Y394" i="1" l="1"/>
  <c r="AH394" i="1"/>
  <c r="AG394" i="1" s="1"/>
  <c r="AR405" i="1"/>
  <c r="AQ405" i="1"/>
  <c r="AP405" i="1"/>
  <c r="AO405" i="1"/>
  <c r="AM405" i="1"/>
  <c r="AL405" i="1"/>
  <c r="AK405" i="1"/>
  <c r="AJ405" i="1"/>
  <c r="AB405" i="1"/>
  <c r="V405" i="1"/>
  <c r="U405" i="1" s="1"/>
  <c r="R405" i="1" s="1"/>
  <c r="F405" i="1"/>
  <c r="G405" i="1" s="1"/>
  <c r="AF405" i="1" s="1"/>
  <c r="AD405" i="1" l="1"/>
  <c r="AH405" i="1" s="1"/>
  <c r="AG405" i="1" s="1"/>
  <c r="Y405" i="1"/>
  <c r="R421" i="1"/>
  <c r="P421" i="1" s="1"/>
  <c r="AA421" i="1" l="1"/>
  <c r="Y421" i="1"/>
  <c r="P415" i="1"/>
  <c r="P452" i="1" s="1"/>
  <c r="G406" i="1" l="1"/>
  <c r="G350" i="1"/>
  <c r="F413" i="1"/>
  <c r="G413" i="1" s="1"/>
  <c r="AF413" i="1" s="1"/>
  <c r="F414" i="1"/>
  <c r="G414" i="1" s="1"/>
  <c r="AF414" i="1" s="1"/>
  <c r="F415" i="1"/>
  <c r="G415" i="1" s="1"/>
  <c r="AF415" i="1" s="1"/>
  <c r="F416" i="1"/>
  <c r="G416" i="1" s="1"/>
  <c r="F417" i="1"/>
  <c r="G417" i="1" s="1"/>
  <c r="AF417" i="1" s="1"/>
  <c r="AF418" i="1"/>
  <c r="F419" i="1"/>
  <c r="G419" i="1" s="1"/>
  <c r="AF420" i="1"/>
  <c r="F421" i="1"/>
  <c r="G421" i="1" s="1"/>
  <c r="AF421" i="1" s="1"/>
  <c r="F422" i="1"/>
  <c r="G422" i="1" s="1"/>
  <c r="AF422" i="1" s="1"/>
  <c r="F423" i="1"/>
  <c r="G423" i="1" s="1"/>
  <c r="AF423" i="1" s="1"/>
  <c r="F424" i="1"/>
  <c r="G424" i="1" s="1"/>
  <c r="AF424" i="1" s="1"/>
  <c r="F425" i="1"/>
  <c r="G425" i="1" s="1"/>
  <c r="F426" i="1"/>
  <c r="G426" i="1" s="1"/>
  <c r="AF426" i="1" s="1"/>
  <c r="F429" i="1"/>
  <c r="G429" i="1" s="1"/>
  <c r="F431" i="1"/>
  <c r="G431" i="1" s="1"/>
  <c r="AF431" i="1" s="1"/>
  <c r="F430" i="1"/>
  <c r="G430" i="1" s="1"/>
  <c r="F432" i="1"/>
  <c r="G432" i="1" s="1"/>
  <c r="F433" i="1"/>
  <c r="G433" i="1" s="1"/>
  <c r="AF433" i="1" s="1"/>
  <c r="F434" i="1"/>
  <c r="G434" i="1" s="1"/>
  <c r="F435" i="1"/>
  <c r="G435" i="1" s="1"/>
  <c r="F436" i="1"/>
  <c r="G436" i="1" s="1"/>
  <c r="AF436" i="1" s="1"/>
  <c r="F437" i="1"/>
  <c r="G437" i="1" s="1"/>
  <c r="AF437" i="1" s="1"/>
  <c r="F438" i="1"/>
  <c r="G438" i="1" s="1"/>
  <c r="F439" i="1"/>
  <c r="G439" i="1" s="1"/>
  <c r="F440" i="1"/>
  <c r="G440" i="1" s="1"/>
  <c r="F441" i="1"/>
  <c r="G441" i="1" s="1"/>
  <c r="G442" i="1"/>
  <c r="AF442" i="1" s="1"/>
  <c r="F443" i="1"/>
  <c r="G443" i="1" s="1"/>
  <c r="AF443" i="1" s="1"/>
  <c r="F444" i="1"/>
  <c r="G444" i="1" s="1"/>
  <c r="AF444" i="1" s="1"/>
  <c r="F445" i="1"/>
  <c r="G445" i="1" s="1"/>
  <c r="AF445" i="1" s="1"/>
  <c r="F446" i="1"/>
  <c r="G446" i="1" s="1"/>
  <c r="F447" i="1"/>
  <c r="G447" i="1" s="1"/>
  <c r="F448" i="1"/>
  <c r="G448" i="1" s="1"/>
  <c r="F449" i="1"/>
  <c r="G449" i="1" s="1"/>
  <c r="F450" i="1"/>
  <c r="G450" i="1" s="1"/>
  <c r="F451" i="1"/>
  <c r="G451" i="1" s="1"/>
  <c r="F412" i="1"/>
  <c r="F369" i="1"/>
  <c r="G369" i="1" s="1"/>
  <c r="F370" i="1"/>
  <c r="G370" i="1" s="1"/>
  <c r="F371" i="1"/>
  <c r="G371" i="1" s="1"/>
  <c r="F372" i="1"/>
  <c r="G372" i="1" s="1"/>
  <c r="F373" i="1"/>
  <c r="G373" i="1" s="1"/>
  <c r="F374" i="1"/>
  <c r="G374" i="1" s="1"/>
  <c r="F375" i="1"/>
  <c r="G375" i="1" s="1"/>
  <c r="F376" i="1"/>
  <c r="G376" i="1" s="1"/>
  <c r="F377" i="1"/>
  <c r="G377" i="1" s="1"/>
  <c r="F378" i="1"/>
  <c r="G378" i="1" s="1"/>
  <c r="F379" i="1"/>
  <c r="G379" i="1" s="1"/>
  <c r="F380" i="1"/>
  <c r="G380" i="1" s="1"/>
  <c r="F381" i="1"/>
  <c r="G381" i="1" s="1"/>
  <c r="F382" i="1"/>
  <c r="G382" i="1" s="1"/>
  <c r="F383" i="1"/>
  <c r="G383" i="1" s="1"/>
  <c r="F384" i="1"/>
  <c r="G384" i="1" s="1"/>
  <c r="F385" i="1"/>
  <c r="G385" i="1" s="1"/>
  <c r="F386" i="1"/>
  <c r="G386" i="1" s="1"/>
  <c r="F387" i="1"/>
  <c r="G387" i="1" s="1"/>
  <c r="F388" i="1"/>
  <c r="G388" i="1" s="1"/>
  <c r="F389" i="1"/>
  <c r="G389" i="1" s="1"/>
  <c r="F390" i="1"/>
  <c r="G390" i="1" s="1"/>
  <c r="F391" i="1"/>
  <c r="G391" i="1" s="1"/>
  <c r="F392" i="1"/>
  <c r="G392" i="1" s="1"/>
  <c r="F393" i="1"/>
  <c r="G393" i="1" s="1"/>
  <c r="F395" i="1"/>
  <c r="G395" i="1" s="1"/>
  <c r="F396" i="1"/>
  <c r="G396" i="1" s="1"/>
  <c r="F397" i="1"/>
  <c r="G397" i="1" s="1"/>
  <c r="F398" i="1"/>
  <c r="G398" i="1" s="1"/>
  <c r="F399" i="1"/>
  <c r="G399" i="1" s="1"/>
  <c r="F400" i="1"/>
  <c r="G400" i="1" s="1"/>
  <c r="F401" i="1"/>
  <c r="G401" i="1" s="1"/>
  <c r="F403" i="1"/>
  <c r="G403" i="1" s="1"/>
  <c r="F404" i="1"/>
  <c r="G404" i="1" s="1"/>
  <c r="F407" i="1"/>
  <c r="G407" i="1" s="1"/>
  <c r="F408" i="1"/>
  <c r="G408" i="1" s="1"/>
  <c r="F409" i="1"/>
  <c r="G409" i="1" s="1"/>
  <c r="F368" i="1"/>
  <c r="F343" i="1"/>
  <c r="G343" i="1" s="1"/>
  <c r="AR451" i="1"/>
  <c r="AQ451" i="1"/>
  <c r="AP451" i="1"/>
  <c r="AO451" i="1"/>
  <c r="AM451" i="1"/>
  <c r="AL451" i="1"/>
  <c r="AK451" i="1"/>
  <c r="AJ451" i="1"/>
  <c r="AF451" i="1"/>
  <c r="AB451" i="1"/>
  <c r="V451" i="1"/>
  <c r="U451" i="1" s="1"/>
  <c r="AR450" i="1"/>
  <c r="AQ450" i="1"/>
  <c r="AP450" i="1"/>
  <c r="AO450" i="1"/>
  <c r="AM450" i="1"/>
  <c r="AL450" i="1"/>
  <c r="AK450" i="1"/>
  <c r="AJ450" i="1"/>
  <c r="AF450" i="1"/>
  <c r="AB450" i="1"/>
  <c r="V450" i="1"/>
  <c r="U450" i="1" s="1"/>
  <c r="AR449" i="1"/>
  <c r="AQ449" i="1"/>
  <c r="AP449" i="1"/>
  <c r="AO449" i="1"/>
  <c r="AM449" i="1"/>
  <c r="AL449" i="1"/>
  <c r="AK449" i="1"/>
  <c r="AJ449" i="1"/>
  <c r="AF449" i="1"/>
  <c r="AB449" i="1"/>
  <c r="V449" i="1"/>
  <c r="U449" i="1" s="1"/>
  <c r="AR448" i="1"/>
  <c r="AQ448" i="1"/>
  <c r="AP448" i="1"/>
  <c r="AO448" i="1"/>
  <c r="AM448" i="1"/>
  <c r="AL448" i="1"/>
  <c r="AK448" i="1"/>
  <c r="AJ448" i="1"/>
  <c r="AF448" i="1"/>
  <c r="AB448" i="1"/>
  <c r="V448" i="1"/>
  <c r="U448" i="1" s="1"/>
  <c r="AR447" i="1"/>
  <c r="AQ447" i="1"/>
  <c r="AP447" i="1"/>
  <c r="AO447" i="1"/>
  <c r="AM447" i="1"/>
  <c r="AL447" i="1"/>
  <c r="AK447" i="1"/>
  <c r="AJ447" i="1"/>
  <c r="AF447" i="1"/>
  <c r="AB447" i="1"/>
  <c r="V447" i="1"/>
  <c r="U447" i="1" s="1"/>
  <c r="AR446" i="1"/>
  <c r="AQ446" i="1"/>
  <c r="AP446" i="1"/>
  <c r="AO446" i="1"/>
  <c r="AM446" i="1"/>
  <c r="AL446" i="1"/>
  <c r="AK446" i="1"/>
  <c r="AJ446" i="1"/>
  <c r="AF446" i="1"/>
  <c r="AB446" i="1"/>
  <c r="V446" i="1"/>
  <c r="U446" i="1" s="1"/>
  <c r="AR445" i="1"/>
  <c r="AQ445" i="1"/>
  <c r="AP445" i="1"/>
  <c r="AO445" i="1"/>
  <c r="AM445" i="1"/>
  <c r="AL445" i="1"/>
  <c r="AK445" i="1"/>
  <c r="AJ445" i="1"/>
  <c r="AB445" i="1"/>
  <c r="V445" i="1"/>
  <c r="U445" i="1" s="1"/>
  <c r="AR444" i="1"/>
  <c r="AQ444" i="1"/>
  <c r="AP444" i="1"/>
  <c r="AO444" i="1"/>
  <c r="AM444" i="1"/>
  <c r="AL444" i="1"/>
  <c r="AK444" i="1"/>
  <c r="AJ444" i="1"/>
  <c r="AB444" i="1"/>
  <c r="V444" i="1"/>
  <c r="U444" i="1" s="1"/>
  <c r="AR443" i="1"/>
  <c r="AQ443" i="1"/>
  <c r="AP443" i="1"/>
  <c r="AO443" i="1"/>
  <c r="AM443" i="1"/>
  <c r="AL443" i="1"/>
  <c r="AK443" i="1"/>
  <c r="AJ443" i="1"/>
  <c r="AB443" i="1"/>
  <c r="AR442" i="1"/>
  <c r="AQ442" i="1"/>
  <c r="AP442" i="1"/>
  <c r="AO442" i="1"/>
  <c r="AM442" i="1"/>
  <c r="AL442" i="1"/>
  <c r="AK442" i="1"/>
  <c r="AJ442" i="1"/>
  <c r="AB442" i="1"/>
  <c r="V442" i="1"/>
  <c r="U442" i="1" s="1"/>
  <c r="AR441" i="1"/>
  <c r="AQ441" i="1"/>
  <c r="AP441" i="1"/>
  <c r="AO441" i="1"/>
  <c r="AM441" i="1"/>
  <c r="AL441" i="1"/>
  <c r="AK441" i="1"/>
  <c r="AJ441" i="1"/>
  <c r="AF441" i="1"/>
  <c r="AB441" i="1"/>
  <c r="V441" i="1"/>
  <c r="U441" i="1" s="1"/>
  <c r="AR440" i="1"/>
  <c r="AQ440" i="1"/>
  <c r="AP440" i="1"/>
  <c r="AO440" i="1"/>
  <c r="AM440" i="1"/>
  <c r="AL440" i="1"/>
  <c r="AK440" i="1"/>
  <c r="AJ440" i="1"/>
  <c r="AF440" i="1"/>
  <c r="AB440" i="1"/>
  <c r="V440" i="1"/>
  <c r="U440" i="1" s="1"/>
  <c r="AR439" i="1"/>
  <c r="AQ439" i="1"/>
  <c r="AP439" i="1"/>
  <c r="AO439" i="1"/>
  <c r="AM439" i="1"/>
  <c r="AL439" i="1"/>
  <c r="AK439" i="1"/>
  <c r="AJ439" i="1"/>
  <c r="AF439" i="1"/>
  <c r="AB439" i="1"/>
  <c r="V439" i="1"/>
  <c r="U439" i="1" s="1"/>
  <c r="AR438" i="1"/>
  <c r="AQ438" i="1"/>
  <c r="AP438" i="1"/>
  <c r="AO438" i="1"/>
  <c r="AM438" i="1"/>
  <c r="AL438" i="1"/>
  <c r="AK438" i="1"/>
  <c r="AJ438" i="1"/>
  <c r="AF438" i="1"/>
  <c r="AB438" i="1"/>
  <c r="V438" i="1"/>
  <c r="U438" i="1" s="1"/>
  <c r="AR437" i="1"/>
  <c r="AQ437" i="1"/>
  <c r="AP437" i="1"/>
  <c r="AO437" i="1"/>
  <c r="AM437" i="1"/>
  <c r="AL437" i="1"/>
  <c r="AK437" i="1"/>
  <c r="AJ437" i="1"/>
  <c r="AB437" i="1"/>
  <c r="V437" i="1"/>
  <c r="U437" i="1" s="1"/>
  <c r="AR436" i="1"/>
  <c r="AQ436" i="1"/>
  <c r="AP436" i="1"/>
  <c r="AO436" i="1"/>
  <c r="AM436" i="1"/>
  <c r="AL436" i="1"/>
  <c r="AK436" i="1"/>
  <c r="AJ436" i="1"/>
  <c r="AB436" i="1"/>
  <c r="V436" i="1"/>
  <c r="U436" i="1" s="1"/>
  <c r="AR435" i="1"/>
  <c r="AQ435" i="1"/>
  <c r="AP435" i="1"/>
  <c r="AO435" i="1"/>
  <c r="AM435" i="1"/>
  <c r="AL435" i="1"/>
  <c r="AK435" i="1"/>
  <c r="AJ435" i="1"/>
  <c r="AF435" i="1"/>
  <c r="AB435" i="1"/>
  <c r="V435" i="1"/>
  <c r="U435" i="1" s="1"/>
  <c r="AR434" i="1"/>
  <c r="AQ434" i="1"/>
  <c r="AP434" i="1"/>
  <c r="AO434" i="1"/>
  <c r="AM434" i="1"/>
  <c r="AL434" i="1"/>
  <c r="AK434" i="1"/>
  <c r="AJ434" i="1"/>
  <c r="AF434" i="1"/>
  <c r="AB434" i="1"/>
  <c r="V434" i="1"/>
  <c r="U434" i="1" s="1"/>
  <c r="AR433" i="1"/>
  <c r="AQ433" i="1"/>
  <c r="AP433" i="1"/>
  <c r="AO433" i="1"/>
  <c r="AM433" i="1"/>
  <c r="AL433" i="1"/>
  <c r="AK433" i="1"/>
  <c r="AJ433" i="1"/>
  <c r="AB433" i="1"/>
  <c r="V433" i="1"/>
  <c r="U433" i="1" s="1"/>
  <c r="AR432" i="1"/>
  <c r="AQ432" i="1"/>
  <c r="AP432" i="1"/>
  <c r="AO432" i="1"/>
  <c r="AM432" i="1"/>
  <c r="AL432" i="1"/>
  <c r="AK432" i="1"/>
  <c r="AJ432" i="1"/>
  <c r="AF432" i="1"/>
  <c r="AB432" i="1"/>
  <c r="V432" i="1"/>
  <c r="U432" i="1" s="1"/>
  <c r="AR430" i="1"/>
  <c r="AQ430" i="1"/>
  <c r="AP430" i="1"/>
  <c r="AO430" i="1"/>
  <c r="AM430" i="1"/>
  <c r="AL430" i="1"/>
  <c r="AK430" i="1"/>
  <c r="AJ430" i="1"/>
  <c r="AF430" i="1"/>
  <c r="AB430" i="1"/>
  <c r="V430" i="1"/>
  <c r="U430" i="1" s="1"/>
  <c r="AR431" i="1"/>
  <c r="AQ431" i="1"/>
  <c r="AP431" i="1"/>
  <c r="AO431" i="1"/>
  <c r="AM431" i="1"/>
  <c r="AL431" i="1"/>
  <c r="AK431" i="1"/>
  <c r="AJ431" i="1"/>
  <c r="AB431" i="1"/>
  <c r="V431" i="1"/>
  <c r="U431" i="1" s="1"/>
  <c r="AR429" i="1"/>
  <c r="AQ429" i="1"/>
  <c r="AP429" i="1"/>
  <c r="AO429" i="1"/>
  <c r="AM429" i="1"/>
  <c r="AL429" i="1"/>
  <c r="AK429" i="1"/>
  <c r="AJ429" i="1"/>
  <c r="AF429" i="1"/>
  <c r="AB429" i="1"/>
  <c r="V429" i="1"/>
  <c r="U429" i="1" s="1"/>
  <c r="AR428" i="1"/>
  <c r="AQ428" i="1"/>
  <c r="AP428" i="1"/>
  <c r="AO428" i="1"/>
  <c r="AM428" i="1"/>
  <c r="AL428" i="1"/>
  <c r="AK428" i="1"/>
  <c r="AJ428" i="1"/>
  <c r="AF428" i="1"/>
  <c r="AB428" i="1"/>
  <c r="V428" i="1"/>
  <c r="U428" i="1" s="1"/>
  <c r="AR426" i="1"/>
  <c r="AQ426" i="1"/>
  <c r="AP426" i="1"/>
  <c r="AO426" i="1"/>
  <c r="AM426" i="1"/>
  <c r="AL426" i="1"/>
  <c r="AK426" i="1"/>
  <c r="AJ426" i="1"/>
  <c r="AB426" i="1"/>
  <c r="V426" i="1"/>
  <c r="U426" i="1" s="1"/>
  <c r="AR425" i="1"/>
  <c r="AQ425" i="1"/>
  <c r="AP425" i="1"/>
  <c r="AO425" i="1"/>
  <c r="AM425" i="1"/>
  <c r="AL425" i="1"/>
  <c r="AK425" i="1"/>
  <c r="AJ425" i="1"/>
  <c r="AF425" i="1"/>
  <c r="AB425" i="1"/>
  <c r="V425" i="1"/>
  <c r="U425" i="1" s="1"/>
  <c r="AR424" i="1"/>
  <c r="AQ424" i="1"/>
  <c r="AP424" i="1"/>
  <c r="AO424" i="1"/>
  <c r="AM424" i="1"/>
  <c r="AL424" i="1"/>
  <c r="AK424" i="1"/>
  <c r="AJ424" i="1"/>
  <c r="AB424" i="1"/>
  <c r="V424" i="1"/>
  <c r="U424" i="1" s="1"/>
  <c r="AR423" i="1"/>
  <c r="AQ423" i="1"/>
  <c r="AP423" i="1"/>
  <c r="AO423" i="1"/>
  <c r="AM423" i="1"/>
  <c r="AL423" i="1"/>
  <c r="AK423" i="1"/>
  <c r="AJ423" i="1"/>
  <c r="AB423" i="1"/>
  <c r="V423" i="1"/>
  <c r="U423" i="1" s="1"/>
  <c r="AR422" i="1"/>
  <c r="AQ422" i="1"/>
  <c r="AP422" i="1"/>
  <c r="AO422" i="1"/>
  <c r="AM422" i="1"/>
  <c r="AL422" i="1"/>
  <c r="AK422" i="1"/>
  <c r="AJ422" i="1"/>
  <c r="AB422" i="1"/>
  <c r="V422" i="1"/>
  <c r="U422" i="1" s="1"/>
  <c r="AR421" i="1"/>
  <c r="AQ421" i="1"/>
  <c r="AP421" i="1"/>
  <c r="AO421" i="1"/>
  <c r="AM421" i="1"/>
  <c r="AL421" i="1"/>
  <c r="AK421" i="1"/>
  <c r="AJ421" i="1"/>
  <c r="AB421" i="1"/>
  <c r="V421" i="1"/>
  <c r="U421" i="1" s="1"/>
  <c r="AR420" i="1"/>
  <c r="AQ420" i="1"/>
  <c r="AP420" i="1"/>
  <c r="AO420" i="1"/>
  <c r="AM420" i="1"/>
  <c r="AL420" i="1"/>
  <c r="AK420" i="1"/>
  <c r="AJ420" i="1"/>
  <c r="AB420" i="1"/>
  <c r="V420" i="1"/>
  <c r="U420" i="1" s="1"/>
  <c r="AR419" i="1"/>
  <c r="AQ419" i="1"/>
  <c r="AP419" i="1"/>
  <c r="AO419" i="1"/>
  <c r="AM419" i="1"/>
  <c r="AL419" i="1"/>
  <c r="AK419" i="1"/>
  <c r="AJ419" i="1"/>
  <c r="AF419" i="1"/>
  <c r="AB419" i="1"/>
  <c r="V419" i="1"/>
  <c r="U419" i="1" s="1"/>
  <c r="AR418" i="1"/>
  <c r="AQ418" i="1"/>
  <c r="AP418" i="1"/>
  <c r="AO418" i="1"/>
  <c r="AM418" i="1"/>
  <c r="AL418" i="1"/>
  <c r="AK418" i="1"/>
  <c r="AJ418" i="1"/>
  <c r="AB418" i="1"/>
  <c r="V418" i="1"/>
  <c r="U418" i="1" s="1"/>
  <c r="AR417" i="1"/>
  <c r="AQ417" i="1"/>
  <c r="AP417" i="1"/>
  <c r="AO417" i="1"/>
  <c r="AM417" i="1"/>
  <c r="AL417" i="1"/>
  <c r="AK417" i="1"/>
  <c r="AJ417" i="1"/>
  <c r="AB417" i="1"/>
  <c r="V417" i="1"/>
  <c r="U417" i="1" s="1"/>
  <c r="AR416" i="1"/>
  <c r="AQ416" i="1"/>
  <c r="AP416" i="1"/>
  <c r="AO416" i="1"/>
  <c r="AM416" i="1"/>
  <c r="AL416" i="1"/>
  <c r="AK416" i="1"/>
  <c r="AJ416" i="1"/>
  <c r="AF416" i="1"/>
  <c r="AB416" i="1"/>
  <c r="V416" i="1"/>
  <c r="U416" i="1" s="1"/>
  <c r="AR415" i="1"/>
  <c r="AQ415" i="1"/>
  <c r="AP415" i="1"/>
  <c r="AO415" i="1"/>
  <c r="AM415" i="1"/>
  <c r="AL415" i="1"/>
  <c r="AK415" i="1"/>
  <c r="AJ415" i="1"/>
  <c r="AB415" i="1"/>
  <c r="V415" i="1"/>
  <c r="U415" i="1" s="1"/>
  <c r="AR414" i="1"/>
  <c r="AQ414" i="1"/>
  <c r="AP414" i="1"/>
  <c r="AO414" i="1"/>
  <c r="AM414" i="1"/>
  <c r="AL414" i="1"/>
  <c r="AK414" i="1"/>
  <c r="AJ414" i="1"/>
  <c r="AB414" i="1"/>
  <c r="V414" i="1"/>
  <c r="U414" i="1" s="1"/>
  <c r="AR413" i="1"/>
  <c r="AQ413" i="1"/>
  <c r="AP413" i="1"/>
  <c r="AO413" i="1"/>
  <c r="AM413" i="1"/>
  <c r="AL413" i="1"/>
  <c r="AK413" i="1"/>
  <c r="AJ413" i="1"/>
  <c r="AB413" i="1"/>
  <c r="V413" i="1"/>
  <c r="U413" i="1" s="1"/>
  <c r="AR412" i="1"/>
  <c r="AQ412" i="1"/>
  <c r="AP412" i="1"/>
  <c r="AO412" i="1"/>
  <c r="AM412" i="1"/>
  <c r="AL412" i="1"/>
  <c r="AK412" i="1"/>
  <c r="AJ412" i="1"/>
  <c r="AB412" i="1"/>
  <c r="V412" i="1"/>
  <c r="U412" i="1" s="1"/>
  <c r="AF412" i="1"/>
  <c r="I452" i="1" l="1"/>
  <c r="K452" i="1" s="1"/>
  <c r="G412" i="1"/>
  <c r="AD424" i="1"/>
  <c r="AH424" i="1" s="1"/>
  <c r="AG424" i="1" s="1"/>
  <c r="AD425" i="1"/>
  <c r="AH425" i="1" s="1"/>
  <c r="AG425" i="1" s="1"/>
  <c r="AD419" i="1"/>
  <c r="AH419" i="1" s="1"/>
  <c r="AG419" i="1" s="1"/>
  <c r="AD412" i="1"/>
  <c r="AH412" i="1" s="1"/>
  <c r="AG412" i="1" s="1"/>
  <c r="AD450" i="1"/>
  <c r="AH450" i="1" s="1"/>
  <c r="AG450" i="1" s="1"/>
  <c r="AD451" i="1"/>
  <c r="AH451" i="1" s="1"/>
  <c r="AG451" i="1" s="1"/>
  <c r="AD447" i="1"/>
  <c r="AH447" i="1" s="1"/>
  <c r="AG447" i="1" s="1"/>
  <c r="AD449" i="1"/>
  <c r="AH449" i="1" s="1"/>
  <c r="AG449" i="1" s="1"/>
  <c r="AD444" i="1"/>
  <c r="AH444" i="1" s="1"/>
  <c r="AG444" i="1" s="1"/>
  <c r="AD417" i="1"/>
  <c r="AH417" i="1" s="1"/>
  <c r="AG417" i="1" s="1"/>
  <c r="AD435" i="1"/>
  <c r="AH435" i="1" s="1"/>
  <c r="AG435" i="1" s="1"/>
  <c r="AD433" i="1"/>
  <c r="AH433" i="1" s="1"/>
  <c r="AG433" i="1" s="1"/>
  <c r="AD441" i="1"/>
  <c r="AH441" i="1" s="1"/>
  <c r="AG441" i="1" s="1"/>
  <c r="AD443" i="1"/>
  <c r="AH443" i="1" s="1"/>
  <c r="AG443" i="1" s="1"/>
  <c r="AD440" i="1"/>
  <c r="AH440" i="1" s="1"/>
  <c r="AG440" i="1" s="1"/>
  <c r="AD426" i="1"/>
  <c r="AH426" i="1" s="1"/>
  <c r="AG426" i="1" s="1"/>
  <c r="AD430" i="1"/>
  <c r="AH430" i="1" s="1"/>
  <c r="AG430" i="1" s="1"/>
  <c r="AD437" i="1"/>
  <c r="AH437" i="1" s="1"/>
  <c r="AG437" i="1" s="1"/>
  <c r="AD445" i="1"/>
  <c r="AH445" i="1" s="1"/>
  <c r="AG445" i="1" s="1"/>
  <c r="AD436" i="1"/>
  <c r="AH436" i="1" s="1"/>
  <c r="AG436" i="1" s="1"/>
  <c r="AD414" i="1"/>
  <c r="AH414" i="1" s="1"/>
  <c r="AG414" i="1" s="1"/>
  <c r="AJ452" i="1"/>
  <c r="AJ453" i="1" s="1"/>
  <c r="E410" i="1"/>
  <c r="I410" i="1"/>
  <c r="K410" i="1" s="1"/>
  <c r="AA452" i="1"/>
  <c r="R452" i="1" s="1"/>
  <c r="AK452" i="1"/>
  <c r="AK453" i="1" s="1"/>
  <c r="AO452" i="1"/>
  <c r="AO453" i="1" s="1"/>
  <c r="AD439" i="1"/>
  <c r="AH439" i="1" s="1"/>
  <c r="AG439" i="1" s="1"/>
  <c r="AM452" i="1"/>
  <c r="AM453" i="1" s="1"/>
  <c r="AP452" i="1"/>
  <c r="AP453" i="1" s="1"/>
  <c r="AQ452" i="1"/>
  <c r="AQ453" i="1" s="1"/>
  <c r="AR452" i="1"/>
  <c r="AR453" i="1" s="1"/>
  <c r="AD415" i="1"/>
  <c r="AH415" i="1" s="1"/>
  <c r="AG415" i="1" s="1"/>
  <c r="AL452" i="1"/>
  <c r="AL453" i="1" s="1"/>
  <c r="AD422" i="1"/>
  <c r="AH422" i="1" s="1"/>
  <c r="AG422" i="1" s="1"/>
  <c r="AD431" i="1"/>
  <c r="AH431" i="1" s="1"/>
  <c r="AG431" i="1" s="1"/>
  <c r="AD448" i="1"/>
  <c r="AH448" i="1" s="1"/>
  <c r="AG448" i="1" s="1"/>
  <c r="AD418" i="1"/>
  <c r="AH418" i="1" s="1"/>
  <c r="AG418" i="1" s="1"/>
  <c r="AD432" i="1"/>
  <c r="AH432" i="1" s="1"/>
  <c r="AG432" i="1" s="1"/>
  <c r="AF452" i="1"/>
  <c r="AD420" i="1"/>
  <c r="AH420" i="1" s="1"/>
  <c r="AG420" i="1" s="1"/>
  <c r="AD428" i="1"/>
  <c r="AH428" i="1" s="1"/>
  <c r="AG428" i="1" s="1"/>
  <c r="AD446" i="1"/>
  <c r="AH446" i="1" s="1"/>
  <c r="AG446" i="1" s="1"/>
  <c r="AB452" i="1"/>
  <c r="AC452" i="1" s="1"/>
  <c r="AD421" i="1"/>
  <c r="AH421" i="1" s="1"/>
  <c r="AG421" i="1" s="1"/>
  <c r="AD429" i="1"/>
  <c r="AH429" i="1" s="1"/>
  <c r="AG429" i="1" s="1"/>
  <c r="AD438" i="1"/>
  <c r="AH438" i="1" s="1"/>
  <c r="AG438" i="1" s="1"/>
  <c r="AD442" i="1"/>
  <c r="AH442" i="1" s="1"/>
  <c r="AG442" i="1" s="1"/>
  <c r="AD434" i="1"/>
  <c r="AH434" i="1" s="1"/>
  <c r="AG434" i="1" s="1"/>
  <c r="AD423" i="1"/>
  <c r="AH423" i="1" s="1"/>
  <c r="AG423" i="1" s="1"/>
  <c r="AD416" i="1"/>
  <c r="AH416" i="1" s="1"/>
  <c r="AG416" i="1" s="1"/>
  <c r="E452" i="1"/>
  <c r="AD413" i="1"/>
  <c r="AH413" i="1" s="1"/>
  <c r="AG413" i="1" s="1"/>
  <c r="AR375" i="1"/>
  <c r="AQ375" i="1"/>
  <c r="AP375" i="1"/>
  <c r="AO375" i="1"/>
  <c r="AM375" i="1"/>
  <c r="AL375" i="1"/>
  <c r="AK375" i="1"/>
  <c r="AJ375" i="1"/>
  <c r="AF375" i="1"/>
  <c r="AB375" i="1"/>
  <c r="AA375" i="1"/>
  <c r="V375" i="1"/>
  <c r="U375" i="1" s="1"/>
  <c r="Y375" i="1"/>
  <c r="AG452" i="1" l="1"/>
  <c r="N452" i="1" s="1"/>
  <c r="AN453" i="1"/>
  <c r="AS453" i="1"/>
  <c r="Z452" i="1"/>
  <c r="AN452" i="1"/>
  <c r="AS452" i="1"/>
  <c r="AH452" i="1"/>
  <c r="AI452" i="1" s="1"/>
  <c r="AD375" i="1"/>
  <c r="AH375" i="1" s="1"/>
  <c r="AG375" i="1" s="1"/>
  <c r="AR379" i="1"/>
  <c r="AQ379" i="1"/>
  <c r="AP379" i="1"/>
  <c r="AO379" i="1"/>
  <c r="AM379" i="1"/>
  <c r="AL379" i="1"/>
  <c r="AK379" i="1"/>
  <c r="AJ379" i="1"/>
  <c r="AF379" i="1"/>
  <c r="AB379" i="1"/>
  <c r="AA379" i="1"/>
  <c r="V379" i="1"/>
  <c r="U379" i="1" s="1"/>
  <c r="R379" i="1" s="1"/>
  <c r="Y379" i="1" s="1"/>
  <c r="AD379" i="1" l="1"/>
  <c r="AH379" i="1" s="1"/>
  <c r="AG379" i="1" s="1"/>
  <c r="AR385" i="1"/>
  <c r="AQ385" i="1"/>
  <c r="AP385" i="1"/>
  <c r="AO385" i="1"/>
  <c r="AM385" i="1"/>
  <c r="AL385" i="1"/>
  <c r="AK385" i="1"/>
  <c r="AJ385" i="1"/>
  <c r="AF385" i="1"/>
  <c r="AB385" i="1"/>
  <c r="AA385" i="1"/>
  <c r="V385" i="1"/>
  <c r="U385" i="1" s="1"/>
  <c r="R385" i="1"/>
  <c r="Q385" i="1"/>
  <c r="AD385" i="1" l="1"/>
  <c r="AH385" i="1" s="1"/>
  <c r="AG385" i="1" s="1"/>
  <c r="Y385" i="1"/>
  <c r="AR370" i="1"/>
  <c r="AQ370" i="1"/>
  <c r="AP370" i="1"/>
  <c r="AO370" i="1"/>
  <c r="AM370" i="1"/>
  <c r="AL370" i="1"/>
  <c r="AK370" i="1"/>
  <c r="AJ370" i="1"/>
  <c r="AF370" i="1"/>
  <c r="AB370" i="1"/>
  <c r="AA370" i="1"/>
  <c r="V370" i="1"/>
  <c r="U370" i="1" s="1"/>
  <c r="R370" i="1"/>
  <c r="Q370" i="1"/>
  <c r="Y370" i="1" l="1"/>
  <c r="AD370" i="1"/>
  <c r="AH370" i="1" s="1"/>
  <c r="AG370" i="1" s="1"/>
  <c r="AR362" i="1"/>
  <c r="AQ362" i="1"/>
  <c r="AP362" i="1"/>
  <c r="AO362" i="1"/>
  <c r="AM362" i="1"/>
  <c r="AL362" i="1"/>
  <c r="AK362" i="1"/>
  <c r="AJ362" i="1"/>
  <c r="AB362" i="1"/>
  <c r="AA362" i="1"/>
  <c r="V362" i="1"/>
  <c r="U362" i="1" s="1"/>
  <c r="Y362" i="1"/>
  <c r="F362" i="1"/>
  <c r="AD362" i="1" l="1"/>
  <c r="G362" i="1"/>
  <c r="AF362" i="1" s="1"/>
  <c r="Q382" i="1"/>
  <c r="AH362" i="1" l="1"/>
  <c r="AG362" i="1" s="1"/>
  <c r="Q363" i="1"/>
  <c r="Y363" i="1" s="1"/>
  <c r="AR363" i="1"/>
  <c r="AQ363" i="1"/>
  <c r="AP363" i="1"/>
  <c r="AO363" i="1"/>
  <c r="AM363" i="1"/>
  <c r="AL363" i="1"/>
  <c r="AK363" i="1"/>
  <c r="AJ363" i="1"/>
  <c r="AB363" i="1"/>
  <c r="AA363" i="1"/>
  <c r="V363" i="1"/>
  <c r="U363" i="1" s="1"/>
  <c r="F363" i="1"/>
  <c r="G363" i="1" s="1"/>
  <c r="AF363" i="1" s="1"/>
  <c r="AD363" i="1" l="1"/>
  <c r="AH363" i="1" s="1"/>
  <c r="AG363" i="1" s="1"/>
  <c r="P361" i="1"/>
  <c r="Q361" i="1" s="1"/>
  <c r="AR361" i="1"/>
  <c r="AQ361" i="1"/>
  <c r="AP361" i="1"/>
  <c r="AO361" i="1"/>
  <c r="AM361" i="1"/>
  <c r="AL361" i="1"/>
  <c r="AK361" i="1"/>
  <c r="AJ361" i="1"/>
  <c r="AB361" i="1"/>
  <c r="AA361" i="1"/>
  <c r="V361" i="1"/>
  <c r="U361" i="1" s="1"/>
  <c r="F361" i="1"/>
  <c r="G361" i="1" s="1"/>
  <c r="AF361" i="1" s="1"/>
  <c r="AD361" i="1" l="1"/>
  <c r="AH361" i="1" s="1"/>
  <c r="AG361" i="1" s="1"/>
  <c r="Y361" i="1"/>
  <c r="AR359" i="1"/>
  <c r="AQ359" i="1"/>
  <c r="AP359" i="1"/>
  <c r="AO359" i="1"/>
  <c r="AM359" i="1"/>
  <c r="AL359" i="1"/>
  <c r="AK359" i="1"/>
  <c r="AJ359" i="1"/>
  <c r="AB359" i="1"/>
  <c r="AA359" i="1"/>
  <c r="V359" i="1"/>
  <c r="U359" i="1" s="1"/>
  <c r="F359" i="1"/>
  <c r="G359" i="1" s="1"/>
  <c r="AF359" i="1" s="1"/>
  <c r="AD359" i="1" l="1"/>
  <c r="AH359" i="1" s="1"/>
  <c r="AG359" i="1" s="1"/>
  <c r="R359" i="1"/>
  <c r="Y359" i="1" s="1"/>
  <c r="P369" i="1"/>
  <c r="Q364" i="1"/>
  <c r="AR377" i="1" l="1"/>
  <c r="AQ377" i="1"/>
  <c r="AP377" i="1"/>
  <c r="AO377" i="1"/>
  <c r="AM377" i="1"/>
  <c r="AL377" i="1"/>
  <c r="AK377" i="1"/>
  <c r="AJ377" i="1"/>
  <c r="AF377" i="1"/>
  <c r="AB377" i="1"/>
  <c r="AA377" i="1"/>
  <c r="V377" i="1"/>
  <c r="U377" i="1" s="1"/>
  <c r="AD377" i="1" s="1"/>
  <c r="Y377" i="1"/>
  <c r="AH377" i="1" l="1"/>
  <c r="AG377" i="1" s="1"/>
  <c r="Q380" i="1"/>
  <c r="V380" i="1"/>
  <c r="U380" i="1" s="1"/>
  <c r="AB380" i="1"/>
  <c r="AF380" i="1"/>
  <c r="AJ380" i="1"/>
  <c r="AK380" i="1"/>
  <c r="AL380" i="1"/>
  <c r="AM380" i="1"/>
  <c r="AO380" i="1"/>
  <c r="AP380" i="1"/>
  <c r="AQ380" i="1"/>
  <c r="AR380" i="1"/>
  <c r="R380" i="1" l="1"/>
  <c r="AD380" i="1"/>
  <c r="AH380" i="1" s="1"/>
  <c r="AG380" i="1" s="1"/>
  <c r="P376" i="1"/>
  <c r="P378" i="1"/>
  <c r="AA380" i="1" l="1"/>
  <c r="Y380" i="1"/>
  <c r="Q376" i="1"/>
  <c r="F320" i="1" l="1"/>
  <c r="G320" i="1" s="1"/>
  <c r="F321" i="1"/>
  <c r="F322" i="1"/>
  <c r="G322" i="1" s="1"/>
  <c r="F323" i="1"/>
  <c r="G323" i="1" s="1"/>
  <c r="F324" i="1"/>
  <c r="G324" i="1" s="1"/>
  <c r="F325" i="1"/>
  <c r="G325" i="1" s="1"/>
  <c r="F326" i="1"/>
  <c r="G326" i="1" s="1"/>
  <c r="F327" i="1"/>
  <c r="G327" i="1" s="1"/>
  <c r="F328" i="1"/>
  <c r="G328" i="1" s="1"/>
  <c r="F329" i="1"/>
  <c r="G329" i="1" s="1"/>
  <c r="F330" i="1"/>
  <c r="G330" i="1" s="1"/>
  <c r="F331" i="1"/>
  <c r="G331" i="1" s="1"/>
  <c r="F332" i="1"/>
  <c r="G332" i="1" s="1"/>
  <c r="F333" i="1"/>
  <c r="G333" i="1" s="1"/>
  <c r="F334" i="1"/>
  <c r="G334" i="1" s="1"/>
  <c r="F335" i="1"/>
  <c r="G335" i="1" s="1"/>
  <c r="F336" i="1"/>
  <c r="G336" i="1" s="1"/>
  <c r="F337" i="1"/>
  <c r="G337" i="1" s="1"/>
  <c r="F338" i="1"/>
  <c r="G338" i="1" s="1"/>
  <c r="F339" i="1"/>
  <c r="G339" i="1" s="1"/>
  <c r="F340" i="1"/>
  <c r="G340" i="1" s="1"/>
  <c r="F341" i="1"/>
  <c r="G341" i="1" s="1"/>
  <c r="F342" i="1"/>
  <c r="G342" i="1" s="1"/>
  <c r="F344" i="1"/>
  <c r="G344" i="1" s="1"/>
  <c r="F345" i="1"/>
  <c r="G345" i="1" s="1"/>
  <c r="F346" i="1"/>
  <c r="G346" i="1" s="1"/>
  <c r="F347" i="1"/>
  <c r="G347" i="1" s="1"/>
  <c r="F348" i="1"/>
  <c r="G348" i="1" s="1"/>
  <c r="F349" i="1"/>
  <c r="G349" i="1" s="1"/>
  <c r="F351" i="1"/>
  <c r="G351" i="1" s="1"/>
  <c r="F352" i="1"/>
  <c r="G352" i="1" s="1"/>
  <c r="F353" i="1"/>
  <c r="G353" i="1" s="1"/>
  <c r="F354" i="1"/>
  <c r="G354" i="1" s="1"/>
  <c r="F355" i="1"/>
  <c r="G355" i="1" s="1"/>
  <c r="F356" i="1"/>
  <c r="G356" i="1" s="1"/>
  <c r="F357" i="1"/>
  <c r="G357" i="1" s="1"/>
  <c r="F358" i="1"/>
  <c r="G358" i="1" s="1"/>
  <c r="F360" i="1"/>
  <c r="G360" i="1" s="1"/>
  <c r="F364" i="1"/>
  <c r="G364" i="1" s="1"/>
  <c r="F365" i="1"/>
  <c r="G365" i="1" s="1"/>
  <c r="F319" i="1"/>
  <c r="G319" i="1" s="1"/>
  <c r="G321" i="1" l="1"/>
  <c r="E366" i="1"/>
  <c r="Q378" i="1"/>
  <c r="Q349" i="1" l="1"/>
  <c r="P349" i="1" s="1"/>
  <c r="Q340" i="1" l="1"/>
  <c r="AO320" i="1" l="1"/>
  <c r="AJ320" i="1"/>
  <c r="Q326" i="1"/>
  <c r="P326" i="1"/>
  <c r="AR326" i="1"/>
  <c r="AQ326" i="1"/>
  <c r="AP326" i="1"/>
  <c r="AO326" i="1"/>
  <c r="AM326" i="1"/>
  <c r="AL326" i="1"/>
  <c r="AK326" i="1"/>
  <c r="AJ326" i="1"/>
  <c r="AF326" i="1"/>
  <c r="AB326" i="1"/>
  <c r="AA326" i="1"/>
  <c r="V326" i="1"/>
  <c r="U326" i="1" s="1"/>
  <c r="Y326" i="1" l="1"/>
  <c r="AD326" i="1"/>
  <c r="AH326" i="1" s="1"/>
  <c r="AG326" i="1" s="1"/>
  <c r="M334" i="1"/>
  <c r="Q339" i="1" l="1"/>
  <c r="AR340" i="1"/>
  <c r="AQ340" i="1"/>
  <c r="AP340" i="1"/>
  <c r="AO340" i="1"/>
  <c r="AM340" i="1"/>
  <c r="AL340" i="1"/>
  <c r="AK340" i="1"/>
  <c r="AJ340" i="1"/>
  <c r="AF340" i="1"/>
  <c r="AB340" i="1"/>
  <c r="AA340" i="1"/>
  <c r="V340" i="1"/>
  <c r="U340" i="1" s="1"/>
  <c r="AR338" i="1"/>
  <c r="AQ338" i="1"/>
  <c r="AP338" i="1"/>
  <c r="AO338" i="1"/>
  <c r="AM338" i="1"/>
  <c r="AL338" i="1"/>
  <c r="AK338" i="1"/>
  <c r="AJ338" i="1"/>
  <c r="AF338" i="1"/>
  <c r="AB338" i="1"/>
  <c r="AA338" i="1"/>
  <c r="V338" i="1"/>
  <c r="U338" i="1" s="1"/>
  <c r="R338" i="1"/>
  <c r="Q338" i="1"/>
  <c r="Y338" i="1" l="1"/>
  <c r="AD338" i="1"/>
  <c r="AH338" i="1" s="1"/>
  <c r="AG338" i="1" s="1"/>
  <c r="AD340" i="1"/>
  <c r="AH340" i="1" s="1"/>
  <c r="AG340" i="1" s="1"/>
  <c r="R340" i="1"/>
  <c r="Y340" i="1" s="1"/>
  <c r="Q330" i="1"/>
  <c r="AR330" i="1"/>
  <c r="AQ330" i="1"/>
  <c r="AP330" i="1"/>
  <c r="AO330" i="1"/>
  <c r="AM330" i="1"/>
  <c r="AL330" i="1"/>
  <c r="AK330" i="1"/>
  <c r="AJ330" i="1"/>
  <c r="AF330" i="1"/>
  <c r="AB330" i="1"/>
  <c r="AA330" i="1"/>
  <c r="V330" i="1"/>
  <c r="U330" i="1" s="1"/>
  <c r="AD330" i="1" l="1"/>
  <c r="AH330" i="1" s="1"/>
  <c r="AG330" i="1" s="1"/>
  <c r="R330" i="1"/>
  <c r="Y330" i="1" s="1"/>
  <c r="Q320" i="1"/>
  <c r="P319" i="1" l="1"/>
  <c r="Q319" i="1" l="1"/>
  <c r="Q345" i="1"/>
  <c r="AR329" i="1" l="1"/>
  <c r="AQ329" i="1"/>
  <c r="AP329" i="1"/>
  <c r="AO329" i="1"/>
  <c r="AM329" i="1"/>
  <c r="AL329" i="1"/>
  <c r="AK329" i="1"/>
  <c r="AJ329" i="1"/>
  <c r="AF329" i="1"/>
  <c r="AB329" i="1"/>
  <c r="AA329" i="1"/>
  <c r="V329" i="1"/>
  <c r="U329" i="1" s="1"/>
  <c r="R329" i="1" l="1"/>
  <c r="Y329" i="1" s="1"/>
  <c r="AD329" i="1"/>
  <c r="AH329" i="1" s="1"/>
  <c r="AG329" i="1" s="1"/>
  <c r="P334" i="1"/>
  <c r="Q334" i="1" s="1"/>
  <c r="Q341" i="1" l="1"/>
  <c r="P328" i="1"/>
  <c r="AR328" i="1"/>
  <c r="AQ328" i="1"/>
  <c r="AP328" i="1"/>
  <c r="AO328" i="1"/>
  <c r="AM328" i="1"/>
  <c r="AL328" i="1"/>
  <c r="AK328" i="1"/>
  <c r="AJ328" i="1"/>
  <c r="AF328" i="1"/>
  <c r="AB328" i="1"/>
  <c r="AA328" i="1"/>
  <c r="V328" i="1"/>
  <c r="U328" i="1" s="1"/>
  <c r="AD328" i="1" l="1"/>
  <c r="AH328" i="1" s="1"/>
  <c r="AG328" i="1" s="1"/>
  <c r="P366" i="1"/>
  <c r="Q328" i="1"/>
  <c r="R328" i="1" s="1"/>
  <c r="Y328" i="1" s="1"/>
  <c r="Q331" i="1"/>
  <c r="AR306" i="1" l="1"/>
  <c r="AQ306" i="1"/>
  <c r="AP306" i="1"/>
  <c r="AO306" i="1"/>
  <c r="AM306" i="1"/>
  <c r="AL306" i="1"/>
  <c r="AK306" i="1"/>
  <c r="AJ306" i="1"/>
  <c r="AF306" i="1"/>
  <c r="AB306" i="1"/>
  <c r="AA306" i="1"/>
  <c r="V306" i="1"/>
  <c r="U306" i="1" s="1"/>
  <c r="AD306" i="1" s="1"/>
  <c r="AH306" i="1" s="1"/>
  <c r="AG306" i="1" s="1"/>
  <c r="R306" i="1" l="1"/>
  <c r="Y306" i="1" s="1"/>
  <c r="Q373" i="1"/>
  <c r="P305" i="1" l="1"/>
  <c r="Q409" i="1" l="1"/>
  <c r="Q407" i="1"/>
  <c r="Q404" i="1"/>
  <c r="Q400" i="1"/>
  <c r="Q399" i="1"/>
  <c r="Q397" i="1"/>
  <c r="Q396" i="1"/>
  <c r="Q395" i="1"/>
  <c r="Q392" i="1"/>
  <c r="Q391" i="1"/>
  <c r="Q390" i="1"/>
  <c r="Q389" i="1"/>
  <c r="Q388" i="1"/>
  <c r="Q387" i="1"/>
  <c r="Y384" i="1"/>
  <c r="Q383" i="1"/>
  <c r="Q374" i="1"/>
  <c r="Q371" i="1"/>
  <c r="Q369" i="1"/>
  <c r="P410" i="1"/>
  <c r="AR409" i="1"/>
  <c r="AQ409" i="1"/>
  <c r="AP409" i="1"/>
  <c r="AO409" i="1"/>
  <c r="AM409" i="1"/>
  <c r="AL409" i="1"/>
  <c r="AK409" i="1"/>
  <c r="AJ409" i="1"/>
  <c r="AF409" i="1"/>
  <c r="AB409" i="1"/>
  <c r="AA409" i="1"/>
  <c r="V409" i="1"/>
  <c r="U409" i="1" s="1"/>
  <c r="R409" i="1"/>
  <c r="AR408" i="1"/>
  <c r="AQ408" i="1"/>
  <c r="AP408" i="1"/>
  <c r="AO408" i="1"/>
  <c r="AM408" i="1"/>
  <c r="AL408" i="1"/>
  <c r="AK408" i="1"/>
  <c r="AJ408" i="1"/>
  <c r="AF408" i="1"/>
  <c r="AB408" i="1"/>
  <c r="V408" i="1"/>
  <c r="U408" i="1" s="1"/>
  <c r="R408" i="1" s="1"/>
  <c r="AR407" i="1"/>
  <c r="AQ407" i="1"/>
  <c r="AP407" i="1"/>
  <c r="AO407" i="1"/>
  <c r="AM407" i="1"/>
  <c r="AL407" i="1"/>
  <c r="AK407" i="1"/>
  <c r="AJ407" i="1"/>
  <c r="AF407" i="1"/>
  <c r="AB407" i="1"/>
  <c r="V407" i="1"/>
  <c r="U407" i="1" s="1"/>
  <c r="R407" i="1"/>
  <c r="AR406" i="1"/>
  <c r="AQ406" i="1"/>
  <c r="AP406" i="1"/>
  <c r="AO406" i="1"/>
  <c r="AM406" i="1"/>
  <c r="AL406" i="1"/>
  <c r="AK406" i="1"/>
  <c r="AJ406" i="1"/>
  <c r="AF406" i="1"/>
  <c r="AB406" i="1"/>
  <c r="V406" i="1"/>
  <c r="U406" i="1" s="1"/>
  <c r="AR404" i="1"/>
  <c r="AQ404" i="1"/>
  <c r="AP404" i="1"/>
  <c r="AO404" i="1"/>
  <c r="AM404" i="1"/>
  <c r="AL404" i="1"/>
  <c r="AK404" i="1"/>
  <c r="AJ404" i="1"/>
  <c r="AF404" i="1"/>
  <c r="AB404" i="1"/>
  <c r="V404" i="1"/>
  <c r="U404" i="1" s="1"/>
  <c r="R404" i="1"/>
  <c r="AR403" i="1"/>
  <c r="AQ403" i="1"/>
  <c r="AP403" i="1"/>
  <c r="AO403" i="1"/>
  <c r="AM403" i="1"/>
  <c r="AL403" i="1"/>
  <c r="AK403" i="1"/>
  <c r="AJ403" i="1"/>
  <c r="AF403" i="1"/>
  <c r="AB403" i="1"/>
  <c r="V403" i="1"/>
  <c r="U403" i="1" s="1"/>
  <c r="AR401" i="1"/>
  <c r="AQ401" i="1"/>
  <c r="AP401" i="1"/>
  <c r="AO401" i="1"/>
  <c r="AM401" i="1"/>
  <c r="AL401" i="1"/>
  <c r="AK401" i="1"/>
  <c r="AJ401" i="1"/>
  <c r="AF401" i="1"/>
  <c r="AB401" i="1"/>
  <c r="V401" i="1"/>
  <c r="U401" i="1" s="1"/>
  <c r="R401" i="1" s="1"/>
  <c r="AR400" i="1"/>
  <c r="AQ400" i="1"/>
  <c r="AP400" i="1"/>
  <c r="AO400" i="1"/>
  <c r="AM400" i="1"/>
  <c r="AL400" i="1"/>
  <c r="AK400" i="1"/>
  <c r="AJ400" i="1"/>
  <c r="AF400" i="1"/>
  <c r="AB400" i="1"/>
  <c r="AA400" i="1"/>
  <c r="V400" i="1"/>
  <c r="U400" i="1" s="1"/>
  <c r="R400" i="1"/>
  <c r="AR399" i="1"/>
  <c r="AQ399" i="1"/>
  <c r="AP399" i="1"/>
  <c r="AO399" i="1"/>
  <c r="AM399" i="1"/>
  <c r="AL399" i="1"/>
  <c r="AK399" i="1"/>
  <c r="AJ399" i="1"/>
  <c r="AF399" i="1"/>
  <c r="AB399" i="1"/>
  <c r="AA399" i="1"/>
  <c r="V399" i="1"/>
  <c r="U399" i="1" s="1"/>
  <c r="R399" i="1"/>
  <c r="AR398" i="1"/>
  <c r="AQ398" i="1"/>
  <c r="AP398" i="1"/>
  <c r="AO398" i="1"/>
  <c r="AM398" i="1"/>
  <c r="AL398" i="1"/>
  <c r="AK398" i="1"/>
  <c r="AJ398" i="1"/>
  <c r="AF398" i="1"/>
  <c r="AB398" i="1"/>
  <c r="AA398" i="1"/>
  <c r="V398" i="1"/>
  <c r="U398" i="1" s="1"/>
  <c r="AR397" i="1"/>
  <c r="AQ397" i="1"/>
  <c r="AP397" i="1"/>
  <c r="AO397" i="1"/>
  <c r="AM397" i="1"/>
  <c r="AL397" i="1"/>
  <c r="AK397" i="1"/>
  <c r="AJ397" i="1"/>
  <c r="AF397" i="1"/>
  <c r="AB397" i="1"/>
  <c r="AA397" i="1"/>
  <c r="V397" i="1"/>
  <c r="U397" i="1" s="1"/>
  <c r="R397" i="1"/>
  <c r="AR396" i="1"/>
  <c r="AQ396" i="1"/>
  <c r="AP396" i="1"/>
  <c r="AO396" i="1"/>
  <c r="AM396" i="1"/>
  <c r="AL396" i="1"/>
  <c r="AK396" i="1"/>
  <c r="AJ396" i="1"/>
  <c r="AF396" i="1"/>
  <c r="AB396" i="1"/>
  <c r="AA396" i="1"/>
  <c r="V396" i="1"/>
  <c r="U396" i="1" s="1"/>
  <c r="R396" i="1"/>
  <c r="AR395" i="1"/>
  <c r="AQ395" i="1"/>
  <c r="AP395" i="1"/>
  <c r="AO395" i="1"/>
  <c r="AM395" i="1"/>
  <c r="AL395" i="1"/>
  <c r="AK395" i="1"/>
  <c r="AJ395" i="1"/>
  <c r="AF395" i="1"/>
  <c r="AB395" i="1"/>
  <c r="AA395" i="1"/>
  <c r="V395" i="1"/>
  <c r="U395" i="1" s="1"/>
  <c r="R395" i="1"/>
  <c r="AR393" i="1"/>
  <c r="AQ393" i="1"/>
  <c r="AP393" i="1"/>
  <c r="AO393" i="1"/>
  <c r="AM393" i="1"/>
  <c r="AL393" i="1"/>
  <c r="AK393" i="1"/>
  <c r="AJ393" i="1"/>
  <c r="AF393" i="1"/>
  <c r="AB393" i="1"/>
  <c r="AA393" i="1"/>
  <c r="V393" i="1"/>
  <c r="U393" i="1" s="1"/>
  <c r="AR392" i="1"/>
  <c r="AQ392" i="1"/>
  <c r="AP392" i="1"/>
  <c r="AO392" i="1"/>
  <c r="AM392" i="1"/>
  <c r="AL392" i="1"/>
  <c r="AK392" i="1"/>
  <c r="AJ392" i="1"/>
  <c r="AF392" i="1"/>
  <c r="AB392" i="1"/>
  <c r="AA392" i="1"/>
  <c r="V392" i="1"/>
  <c r="U392" i="1" s="1"/>
  <c r="R392" i="1"/>
  <c r="AR391" i="1"/>
  <c r="AQ391" i="1"/>
  <c r="AP391" i="1"/>
  <c r="AO391" i="1"/>
  <c r="AM391" i="1"/>
  <c r="AL391" i="1"/>
  <c r="AK391" i="1"/>
  <c r="AJ391" i="1"/>
  <c r="AF391" i="1"/>
  <c r="AB391" i="1"/>
  <c r="AA391" i="1"/>
  <c r="V391" i="1"/>
  <c r="U391" i="1" s="1"/>
  <c r="R391" i="1"/>
  <c r="AR390" i="1"/>
  <c r="AQ390" i="1"/>
  <c r="AP390" i="1"/>
  <c r="AO390" i="1"/>
  <c r="AM390" i="1"/>
  <c r="AL390" i="1"/>
  <c r="AK390" i="1"/>
  <c r="AJ390" i="1"/>
  <c r="AF390" i="1"/>
  <c r="AB390" i="1"/>
  <c r="AA390" i="1"/>
  <c r="V390" i="1"/>
  <c r="U390" i="1" s="1"/>
  <c r="R390" i="1"/>
  <c r="AR389" i="1"/>
  <c r="AQ389" i="1"/>
  <c r="AP389" i="1"/>
  <c r="AO389" i="1"/>
  <c r="AM389" i="1"/>
  <c r="AL389" i="1"/>
  <c r="AK389" i="1"/>
  <c r="AJ389" i="1"/>
  <c r="AF389" i="1"/>
  <c r="AB389" i="1"/>
  <c r="AA389" i="1"/>
  <c r="V389" i="1"/>
  <c r="U389" i="1" s="1"/>
  <c r="R389" i="1"/>
  <c r="AR388" i="1"/>
  <c r="AQ388" i="1"/>
  <c r="AP388" i="1"/>
  <c r="AO388" i="1"/>
  <c r="AM388" i="1"/>
  <c r="AL388" i="1"/>
  <c r="AK388" i="1"/>
  <c r="AJ388" i="1"/>
  <c r="AF388" i="1"/>
  <c r="AB388" i="1"/>
  <c r="AA388" i="1"/>
  <c r="V388" i="1"/>
  <c r="U388" i="1" s="1"/>
  <c r="R388" i="1"/>
  <c r="Y388" i="1" s="1"/>
  <c r="AR387" i="1"/>
  <c r="AQ387" i="1"/>
  <c r="AP387" i="1"/>
  <c r="AO387" i="1"/>
  <c r="AM387" i="1"/>
  <c r="AL387" i="1"/>
  <c r="AK387" i="1"/>
  <c r="AJ387" i="1"/>
  <c r="AF387" i="1"/>
  <c r="AB387" i="1"/>
  <c r="AA387" i="1"/>
  <c r="V387" i="1"/>
  <c r="U387" i="1" s="1"/>
  <c r="R387" i="1"/>
  <c r="AR386" i="1"/>
  <c r="AQ386" i="1"/>
  <c r="AP386" i="1"/>
  <c r="AO386" i="1"/>
  <c r="AM386" i="1"/>
  <c r="AL386" i="1"/>
  <c r="AK386" i="1"/>
  <c r="AJ386" i="1"/>
  <c r="AF386" i="1"/>
  <c r="AB386" i="1"/>
  <c r="AA386" i="1"/>
  <c r="V386" i="1"/>
  <c r="U386" i="1" s="1"/>
  <c r="AR384" i="1"/>
  <c r="AQ384" i="1"/>
  <c r="AP384" i="1"/>
  <c r="AO384" i="1"/>
  <c r="AM384" i="1"/>
  <c r="AL384" i="1"/>
  <c r="AK384" i="1"/>
  <c r="AJ384" i="1"/>
  <c r="AF384" i="1"/>
  <c r="AB384" i="1"/>
  <c r="AA384" i="1"/>
  <c r="V384" i="1"/>
  <c r="U384" i="1" s="1"/>
  <c r="AR383" i="1"/>
  <c r="AQ383" i="1"/>
  <c r="AP383" i="1"/>
  <c r="AO383" i="1"/>
  <c r="AM383" i="1"/>
  <c r="AL383" i="1"/>
  <c r="AK383" i="1"/>
  <c r="AJ383" i="1"/>
  <c r="AF383" i="1"/>
  <c r="AB383" i="1"/>
  <c r="AA383" i="1"/>
  <c r="V383" i="1"/>
  <c r="U383" i="1" s="1"/>
  <c r="R383" i="1"/>
  <c r="AR382" i="1"/>
  <c r="AQ382" i="1"/>
  <c r="AP382" i="1"/>
  <c r="AO382" i="1"/>
  <c r="AM382" i="1"/>
  <c r="AL382" i="1"/>
  <c r="AK382" i="1"/>
  <c r="AJ382" i="1"/>
  <c r="AF382" i="1"/>
  <c r="AB382" i="1"/>
  <c r="AA382" i="1"/>
  <c r="V382" i="1"/>
  <c r="U382" i="1" s="1"/>
  <c r="AR381" i="1"/>
  <c r="AQ381" i="1"/>
  <c r="AP381" i="1"/>
  <c r="AO381" i="1"/>
  <c r="AM381" i="1"/>
  <c r="AL381" i="1"/>
  <c r="AK381" i="1"/>
  <c r="AJ381" i="1"/>
  <c r="AF381" i="1"/>
  <c r="AB381" i="1"/>
  <c r="AA381" i="1"/>
  <c r="V381" i="1"/>
  <c r="U381" i="1" s="1"/>
  <c r="AR378" i="1"/>
  <c r="AQ378" i="1"/>
  <c r="AP378" i="1"/>
  <c r="AO378" i="1"/>
  <c r="AM378" i="1"/>
  <c r="AL378" i="1"/>
  <c r="AK378" i="1"/>
  <c r="AJ378" i="1"/>
  <c r="AF378" i="1"/>
  <c r="AB378" i="1"/>
  <c r="AA378" i="1"/>
  <c r="V378" i="1"/>
  <c r="U378" i="1" s="1"/>
  <c r="AR376" i="1"/>
  <c r="AQ376" i="1"/>
  <c r="AP376" i="1"/>
  <c r="AO376" i="1"/>
  <c r="AM376" i="1"/>
  <c r="AL376" i="1"/>
  <c r="AK376" i="1"/>
  <c r="AJ376" i="1"/>
  <c r="AF376" i="1"/>
  <c r="AB376" i="1"/>
  <c r="AA376" i="1"/>
  <c r="V376" i="1"/>
  <c r="U376" i="1" s="1"/>
  <c r="AR374" i="1"/>
  <c r="AQ374" i="1"/>
  <c r="AP374" i="1"/>
  <c r="AO374" i="1"/>
  <c r="AM374" i="1"/>
  <c r="AL374" i="1"/>
  <c r="AK374" i="1"/>
  <c r="AJ374" i="1"/>
  <c r="AF374" i="1"/>
  <c r="AB374" i="1"/>
  <c r="AA374" i="1"/>
  <c r="V374" i="1"/>
  <c r="U374" i="1" s="1"/>
  <c r="R374" i="1"/>
  <c r="AR373" i="1"/>
  <c r="AQ373" i="1"/>
  <c r="AP373" i="1"/>
  <c r="AO373" i="1"/>
  <c r="AM373" i="1"/>
  <c r="AL373" i="1"/>
  <c r="AK373" i="1"/>
  <c r="AJ373" i="1"/>
  <c r="AF373" i="1"/>
  <c r="AB373" i="1"/>
  <c r="V373" i="1"/>
  <c r="U373" i="1" s="1"/>
  <c r="R373" i="1" s="1"/>
  <c r="AR372" i="1"/>
  <c r="AQ372" i="1"/>
  <c r="AP372" i="1"/>
  <c r="AO372" i="1"/>
  <c r="AM372" i="1"/>
  <c r="AL372" i="1"/>
  <c r="AK372" i="1"/>
  <c r="AJ372" i="1"/>
  <c r="AF372" i="1"/>
  <c r="AB372" i="1"/>
  <c r="AA372" i="1"/>
  <c r="V372" i="1"/>
  <c r="U372" i="1" s="1"/>
  <c r="AR371" i="1"/>
  <c r="AQ371" i="1"/>
  <c r="AP371" i="1"/>
  <c r="AO371" i="1"/>
  <c r="AM371" i="1"/>
  <c r="AL371" i="1"/>
  <c r="AK371" i="1"/>
  <c r="AJ371" i="1"/>
  <c r="AF371" i="1"/>
  <c r="AB371" i="1"/>
  <c r="AA371" i="1"/>
  <c r="V371" i="1"/>
  <c r="U371" i="1" s="1"/>
  <c r="R371" i="1"/>
  <c r="AR369" i="1"/>
  <c r="AQ369" i="1"/>
  <c r="AP369" i="1"/>
  <c r="AO369" i="1"/>
  <c r="AM369" i="1"/>
  <c r="AL369" i="1"/>
  <c r="AK369" i="1"/>
  <c r="AJ369" i="1"/>
  <c r="AF369" i="1"/>
  <c r="AB369" i="1"/>
  <c r="AA369" i="1"/>
  <c r="V369" i="1"/>
  <c r="U369" i="1" s="1"/>
  <c r="AR368" i="1"/>
  <c r="AQ368" i="1"/>
  <c r="AP368" i="1"/>
  <c r="AO368" i="1"/>
  <c r="AM368" i="1"/>
  <c r="AL368" i="1"/>
  <c r="AK368" i="1"/>
  <c r="AJ368" i="1"/>
  <c r="AB368" i="1"/>
  <c r="V368" i="1"/>
  <c r="U368" i="1" s="1"/>
  <c r="Y368" i="1"/>
  <c r="G368" i="1"/>
  <c r="AF368" i="1" s="1"/>
  <c r="Y409" i="1" l="1"/>
  <c r="Y408" i="1"/>
  <c r="Y389" i="1"/>
  <c r="Y399" i="1"/>
  <c r="Y407" i="1"/>
  <c r="AD382" i="1"/>
  <c r="AH382" i="1" s="1"/>
  <c r="AG382" i="1" s="1"/>
  <c r="Y390" i="1"/>
  <c r="Y371" i="1"/>
  <c r="AD398" i="1"/>
  <c r="AH398" i="1" s="1"/>
  <c r="AG398" i="1" s="1"/>
  <c r="Y397" i="1"/>
  <c r="Y398" i="1"/>
  <c r="AD397" i="1"/>
  <c r="AH397" i="1" s="1"/>
  <c r="AG397" i="1" s="1"/>
  <c r="AD407" i="1"/>
  <c r="AH407" i="1" s="1"/>
  <c r="AG407" i="1" s="1"/>
  <c r="Y381" i="1"/>
  <c r="AD378" i="1"/>
  <c r="AH378" i="1" s="1"/>
  <c r="AG378" i="1" s="1"/>
  <c r="Y387" i="1"/>
  <c r="AD387" i="1"/>
  <c r="AH387" i="1" s="1"/>
  <c r="AG387" i="1" s="1"/>
  <c r="Y406" i="1"/>
  <c r="Y403" i="1"/>
  <c r="AD396" i="1"/>
  <c r="AH396" i="1" s="1"/>
  <c r="AG396" i="1" s="1"/>
  <c r="AD399" i="1"/>
  <c r="AH399" i="1" s="1"/>
  <c r="AG399" i="1" s="1"/>
  <c r="AD409" i="1"/>
  <c r="AH409" i="1" s="1"/>
  <c r="AG409" i="1" s="1"/>
  <c r="AD368" i="1"/>
  <c r="AH368" i="1" s="1"/>
  <c r="AG368" i="1" s="1"/>
  <c r="AD389" i="1"/>
  <c r="AH389" i="1" s="1"/>
  <c r="AG389" i="1" s="1"/>
  <c r="AD406" i="1"/>
  <c r="AH406" i="1" s="1"/>
  <c r="AG406" i="1" s="1"/>
  <c r="Y373" i="1"/>
  <c r="AA373" i="1"/>
  <c r="AA410" i="1" s="1"/>
  <c r="R369" i="1"/>
  <c r="Y369" i="1" s="1"/>
  <c r="Y392" i="1"/>
  <c r="Y393" i="1"/>
  <c r="AD371" i="1"/>
  <c r="AH371" i="1" s="1"/>
  <c r="AG371" i="1" s="1"/>
  <c r="Y401" i="1"/>
  <c r="AD381" i="1"/>
  <c r="AH381" i="1" s="1"/>
  <c r="AG381" i="1" s="1"/>
  <c r="AD388" i="1"/>
  <c r="AH388" i="1" s="1"/>
  <c r="AG388" i="1" s="1"/>
  <c r="AD390" i="1"/>
  <c r="AH390" i="1" s="1"/>
  <c r="AG390" i="1" s="1"/>
  <c r="AD369" i="1"/>
  <c r="AH369" i="1" s="1"/>
  <c r="AG369" i="1" s="1"/>
  <c r="Y382" i="1"/>
  <c r="Y383" i="1"/>
  <c r="Y400" i="1"/>
  <c r="Y396" i="1"/>
  <c r="Y391" i="1"/>
  <c r="R378" i="1"/>
  <c r="Y378" i="1" s="1"/>
  <c r="AL410" i="1"/>
  <c r="AL411" i="1" s="1"/>
  <c r="AQ410" i="1"/>
  <c r="AQ411" i="1" s="1"/>
  <c r="AR410" i="1"/>
  <c r="AR411" i="1" s="1"/>
  <c r="AB410" i="1"/>
  <c r="AC410" i="1" s="1"/>
  <c r="Y374" i="1"/>
  <c r="Y386" i="1"/>
  <c r="Y395" i="1"/>
  <c r="Y404" i="1"/>
  <c r="AJ410" i="1"/>
  <c r="AJ411" i="1" s="1"/>
  <c r="AK410" i="1"/>
  <c r="AK411" i="1" s="1"/>
  <c r="AM410" i="1"/>
  <c r="AM411" i="1" s="1"/>
  <c r="AO410" i="1"/>
  <c r="AO411" i="1" s="1"/>
  <c r="AP410" i="1"/>
  <c r="AP411" i="1" s="1"/>
  <c r="AF410" i="1"/>
  <c r="AD374" i="1"/>
  <c r="AH374" i="1" s="1"/>
  <c r="AG374" i="1" s="1"/>
  <c r="AD373" i="1"/>
  <c r="AH373" i="1" s="1"/>
  <c r="AG373" i="1" s="1"/>
  <c r="AD386" i="1"/>
  <c r="AH386" i="1" s="1"/>
  <c r="AG386" i="1" s="1"/>
  <c r="AD395" i="1"/>
  <c r="AH395" i="1" s="1"/>
  <c r="AG395" i="1" s="1"/>
  <c r="AD404" i="1"/>
  <c r="AH404" i="1" s="1"/>
  <c r="AG404" i="1" s="1"/>
  <c r="AD384" i="1"/>
  <c r="AH384" i="1" s="1"/>
  <c r="AG384" i="1" s="1"/>
  <c r="AD393" i="1"/>
  <c r="AH393" i="1" s="1"/>
  <c r="AG393" i="1" s="1"/>
  <c r="AD403" i="1"/>
  <c r="AH403" i="1" s="1"/>
  <c r="AG403" i="1" s="1"/>
  <c r="AD392" i="1"/>
  <c r="AH392" i="1" s="1"/>
  <c r="AG392" i="1" s="1"/>
  <c r="AD401" i="1"/>
  <c r="AH401" i="1" s="1"/>
  <c r="AG401" i="1" s="1"/>
  <c r="AD383" i="1"/>
  <c r="AH383" i="1" s="1"/>
  <c r="AG383" i="1" s="1"/>
  <c r="AD391" i="1"/>
  <c r="AH391" i="1" s="1"/>
  <c r="AG391" i="1" s="1"/>
  <c r="AD400" i="1"/>
  <c r="AH400" i="1" s="1"/>
  <c r="AG400" i="1" s="1"/>
  <c r="AD408" i="1"/>
  <c r="AH408" i="1" s="1"/>
  <c r="AG408" i="1" s="1"/>
  <c r="Y376" i="1"/>
  <c r="AD376" i="1"/>
  <c r="AH376" i="1" s="1"/>
  <c r="AG376" i="1" s="1"/>
  <c r="R372" i="1"/>
  <c r="Y372" i="1" s="1"/>
  <c r="AD372" i="1"/>
  <c r="AH372" i="1" s="1"/>
  <c r="AG372" i="1" s="1"/>
  <c r="R410" i="1" l="1"/>
  <c r="Z410" i="1"/>
  <c r="AS411" i="1"/>
  <c r="AN411" i="1"/>
  <c r="AS410" i="1"/>
  <c r="AN410" i="1"/>
  <c r="AH410" i="1"/>
  <c r="AI410" i="1" s="1"/>
  <c r="AG410" i="1"/>
  <c r="N410" i="1" s="1"/>
  <c r="X2" i="1" l="1"/>
  <c r="AR288" i="1"/>
  <c r="AQ288" i="1"/>
  <c r="AP288" i="1"/>
  <c r="AO288" i="1"/>
  <c r="AM288" i="1"/>
  <c r="AL288" i="1"/>
  <c r="AK288" i="1"/>
  <c r="AJ288" i="1"/>
  <c r="AB288" i="1"/>
  <c r="AA288" i="1"/>
  <c r="V288" i="1"/>
  <c r="U288" i="1" s="1"/>
  <c r="Q288" i="1"/>
  <c r="F288" i="1"/>
  <c r="G288" i="1" s="1"/>
  <c r="AF288" i="1" s="1"/>
  <c r="R288" i="1" l="1"/>
  <c r="Y288" i="1" s="1"/>
  <c r="AD288" i="1"/>
  <c r="AH288" i="1" s="1"/>
  <c r="AG288" i="1" s="1"/>
  <c r="Q3" i="1"/>
  <c r="R9" i="1" s="1"/>
  <c r="Y4" i="1"/>
  <c r="X4" i="1"/>
  <c r="M9" i="1" l="1"/>
  <c r="Q322" i="1"/>
  <c r="Q295" i="1" l="1"/>
  <c r="P308" i="1" l="1"/>
  <c r="Q283" i="1" l="1"/>
  <c r="AR283" i="1"/>
  <c r="AQ283" i="1"/>
  <c r="AP283" i="1"/>
  <c r="AO283" i="1"/>
  <c r="AM283" i="1"/>
  <c r="AL283" i="1"/>
  <c r="AK283" i="1"/>
  <c r="AJ283" i="1"/>
  <c r="AB283" i="1"/>
  <c r="AA283" i="1"/>
  <c r="V283" i="1"/>
  <c r="U283" i="1" s="1"/>
  <c r="F283" i="1"/>
  <c r="G283" i="1" s="1"/>
  <c r="AF283" i="1" s="1"/>
  <c r="R283" i="1" l="1"/>
  <c r="Y283" i="1" s="1"/>
  <c r="AD283" i="1"/>
  <c r="AH283" i="1" s="1"/>
  <c r="AG283" i="1" s="1"/>
  <c r="Q313" i="1" l="1"/>
  <c r="P291" i="1" l="1"/>
  <c r="Q291" i="1"/>
  <c r="P293" i="1" l="1"/>
  <c r="Q293" i="1" s="1"/>
  <c r="AR293" i="1"/>
  <c r="AQ293" i="1"/>
  <c r="AP293" i="1"/>
  <c r="AO293" i="1"/>
  <c r="AM293" i="1"/>
  <c r="AL293" i="1"/>
  <c r="AK293" i="1"/>
  <c r="AJ293" i="1"/>
  <c r="AB293" i="1"/>
  <c r="AA293" i="1"/>
  <c r="V293" i="1"/>
  <c r="U293" i="1" s="1"/>
  <c r="F293" i="1"/>
  <c r="G293" i="1" s="1"/>
  <c r="AF293" i="1" s="1"/>
  <c r="F294" i="1"/>
  <c r="G294" i="1" s="1"/>
  <c r="AF294" i="1" s="1"/>
  <c r="P294" i="1"/>
  <c r="Q294" i="1" s="1"/>
  <c r="V294" i="1"/>
  <c r="U294" i="1" s="1"/>
  <c r="AB294" i="1"/>
  <c r="AJ294" i="1"/>
  <c r="AK294" i="1"/>
  <c r="AL294" i="1"/>
  <c r="AM294" i="1"/>
  <c r="AO294" i="1"/>
  <c r="AP294" i="1"/>
  <c r="AQ294" i="1"/>
  <c r="AR294" i="1"/>
  <c r="AR295" i="1"/>
  <c r="AQ295" i="1"/>
  <c r="AP295" i="1"/>
  <c r="AO295" i="1"/>
  <c r="AM295" i="1"/>
  <c r="AL295" i="1"/>
  <c r="AK295" i="1"/>
  <c r="AJ295" i="1"/>
  <c r="AB295" i="1"/>
  <c r="AA295" i="1"/>
  <c r="V295" i="1"/>
  <c r="U295" i="1" s="1"/>
  <c r="R295" i="1" s="1"/>
  <c r="F295" i="1"/>
  <c r="G295" i="1" s="1"/>
  <c r="AF295" i="1" s="1"/>
  <c r="F316" i="1"/>
  <c r="G316" i="1" s="1"/>
  <c r="R365" i="1"/>
  <c r="R360" i="1"/>
  <c r="R357" i="1"/>
  <c r="R356" i="1"/>
  <c r="R355" i="1"/>
  <c r="R354" i="1"/>
  <c r="R351" i="1"/>
  <c r="R348" i="1"/>
  <c r="R347" i="1"/>
  <c r="R344" i="1"/>
  <c r="R343" i="1"/>
  <c r="R342" i="1"/>
  <c r="R337" i="1"/>
  <c r="R336" i="1"/>
  <c r="R335" i="1"/>
  <c r="R333" i="1"/>
  <c r="R332" i="1"/>
  <c r="R325" i="1"/>
  <c r="R323" i="1"/>
  <c r="R321" i="1"/>
  <c r="Q365" i="1"/>
  <c r="Q360" i="1"/>
  <c r="Q357" i="1"/>
  <c r="Q356" i="1"/>
  <c r="Q355" i="1"/>
  <c r="Q354" i="1"/>
  <c r="Q351" i="1"/>
  <c r="Q348" i="1"/>
  <c r="Q347" i="1"/>
  <c r="Q344" i="1"/>
  <c r="Q343" i="1"/>
  <c r="Q342" i="1"/>
  <c r="Q337" i="1"/>
  <c r="Q336" i="1"/>
  <c r="Q335" i="1"/>
  <c r="Q333" i="1"/>
  <c r="Q332" i="1"/>
  <c r="Q325" i="1"/>
  <c r="Q323" i="1"/>
  <c r="Q321" i="1"/>
  <c r="AR365" i="1"/>
  <c r="AQ365" i="1"/>
  <c r="AP365" i="1"/>
  <c r="AO365" i="1"/>
  <c r="AM365" i="1"/>
  <c r="AL365" i="1"/>
  <c r="AK365" i="1"/>
  <c r="AJ365" i="1"/>
  <c r="AF365" i="1"/>
  <c r="AB365" i="1"/>
  <c r="AA365" i="1"/>
  <c r="V365" i="1"/>
  <c r="U365" i="1" s="1"/>
  <c r="AR364" i="1"/>
  <c r="AQ364" i="1"/>
  <c r="AP364" i="1"/>
  <c r="AO364" i="1"/>
  <c r="AM364" i="1"/>
  <c r="AL364" i="1"/>
  <c r="AK364" i="1"/>
  <c r="AJ364" i="1"/>
  <c r="AF364" i="1"/>
  <c r="AB364" i="1"/>
  <c r="AA364" i="1"/>
  <c r="V364" i="1"/>
  <c r="U364" i="1" s="1"/>
  <c r="AR360" i="1"/>
  <c r="AQ360" i="1"/>
  <c r="AP360" i="1"/>
  <c r="AO360" i="1"/>
  <c r="AM360" i="1"/>
  <c r="AL360" i="1"/>
  <c r="AK360" i="1"/>
  <c r="AJ360" i="1"/>
  <c r="AF360" i="1"/>
  <c r="AB360" i="1"/>
  <c r="AA360" i="1"/>
  <c r="V360" i="1"/>
  <c r="U360" i="1" s="1"/>
  <c r="AR358" i="1"/>
  <c r="AQ358" i="1"/>
  <c r="AP358" i="1"/>
  <c r="AO358" i="1"/>
  <c r="AM358" i="1"/>
  <c r="AL358" i="1"/>
  <c r="AK358" i="1"/>
  <c r="AJ358" i="1"/>
  <c r="AF358" i="1"/>
  <c r="AB358" i="1"/>
  <c r="V358" i="1"/>
  <c r="U358" i="1" s="1"/>
  <c r="AR357" i="1"/>
  <c r="AQ357" i="1"/>
  <c r="AP357" i="1"/>
  <c r="AO357" i="1"/>
  <c r="AM357" i="1"/>
  <c r="AL357" i="1"/>
  <c r="AK357" i="1"/>
  <c r="AJ357" i="1"/>
  <c r="AF357" i="1"/>
  <c r="AB357" i="1"/>
  <c r="AA357" i="1"/>
  <c r="V357" i="1"/>
  <c r="U357" i="1" s="1"/>
  <c r="AR356" i="1"/>
  <c r="AQ356" i="1"/>
  <c r="AP356" i="1"/>
  <c r="AO356" i="1"/>
  <c r="AM356" i="1"/>
  <c r="AL356" i="1"/>
  <c r="AK356" i="1"/>
  <c r="AJ356" i="1"/>
  <c r="AF356" i="1"/>
  <c r="AB356" i="1"/>
  <c r="AA356" i="1"/>
  <c r="V356" i="1"/>
  <c r="U356" i="1" s="1"/>
  <c r="AR355" i="1"/>
  <c r="AQ355" i="1"/>
  <c r="AP355" i="1"/>
  <c r="AO355" i="1"/>
  <c r="AM355" i="1"/>
  <c r="AL355" i="1"/>
  <c r="AK355" i="1"/>
  <c r="AJ355" i="1"/>
  <c r="AF355" i="1"/>
  <c r="AB355" i="1"/>
  <c r="AA355" i="1"/>
  <c r="V355" i="1"/>
  <c r="U355" i="1" s="1"/>
  <c r="AR354" i="1"/>
  <c r="AQ354" i="1"/>
  <c r="AP354" i="1"/>
  <c r="AO354" i="1"/>
  <c r="AM354" i="1"/>
  <c r="AL354" i="1"/>
  <c r="AK354" i="1"/>
  <c r="AJ354" i="1"/>
  <c r="AF354" i="1"/>
  <c r="AB354" i="1"/>
  <c r="AA354" i="1"/>
  <c r="V354" i="1"/>
  <c r="U354" i="1" s="1"/>
  <c r="AR353" i="1"/>
  <c r="AQ353" i="1"/>
  <c r="AP353" i="1"/>
  <c r="AO353" i="1"/>
  <c r="AM353" i="1"/>
  <c r="AL353" i="1"/>
  <c r="AK353" i="1"/>
  <c r="AJ353" i="1"/>
  <c r="AF353" i="1"/>
  <c r="AB353" i="1"/>
  <c r="V353" i="1"/>
  <c r="U353" i="1" s="1"/>
  <c r="R353" i="1" s="1"/>
  <c r="AA353" i="1" s="1"/>
  <c r="AR352" i="1"/>
  <c r="AQ352" i="1"/>
  <c r="AP352" i="1"/>
  <c r="AO352" i="1"/>
  <c r="AM352" i="1"/>
  <c r="AL352" i="1"/>
  <c r="AK352" i="1"/>
  <c r="AJ352" i="1"/>
  <c r="AF352" i="1"/>
  <c r="AB352" i="1"/>
  <c r="AA352" i="1"/>
  <c r="V352" i="1"/>
  <c r="U352" i="1" s="1"/>
  <c r="R352" i="1" s="1"/>
  <c r="AR351" i="1"/>
  <c r="AQ351" i="1"/>
  <c r="AP351" i="1"/>
  <c r="AO351" i="1"/>
  <c r="AM351" i="1"/>
  <c r="AL351" i="1"/>
  <c r="AK351" i="1"/>
  <c r="AJ351" i="1"/>
  <c r="AF351" i="1"/>
  <c r="AB351" i="1"/>
  <c r="AA351" i="1"/>
  <c r="V351" i="1"/>
  <c r="U351" i="1" s="1"/>
  <c r="AR350" i="1"/>
  <c r="AQ350" i="1"/>
  <c r="AP350" i="1"/>
  <c r="AO350" i="1"/>
  <c r="AM350" i="1"/>
  <c r="AL350" i="1"/>
  <c r="AK350" i="1"/>
  <c r="AJ350" i="1"/>
  <c r="AF350" i="1"/>
  <c r="AB350" i="1"/>
  <c r="AA350" i="1"/>
  <c r="V350" i="1"/>
  <c r="U350" i="1" s="1"/>
  <c r="AR349" i="1"/>
  <c r="AQ349" i="1"/>
  <c r="AP349" i="1"/>
  <c r="AO349" i="1"/>
  <c r="AM349" i="1"/>
  <c r="AL349" i="1"/>
  <c r="AK349" i="1"/>
  <c r="AJ349" i="1"/>
  <c r="AF349" i="1"/>
  <c r="AB349" i="1"/>
  <c r="AA349" i="1"/>
  <c r="V349" i="1"/>
  <c r="U349" i="1" s="1"/>
  <c r="AR348" i="1"/>
  <c r="AQ348" i="1"/>
  <c r="AP348" i="1"/>
  <c r="AO348" i="1"/>
  <c r="AM348" i="1"/>
  <c r="AL348" i="1"/>
  <c r="AK348" i="1"/>
  <c r="AJ348" i="1"/>
  <c r="AF348" i="1"/>
  <c r="AB348" i="1"/>
  <c r="AA348" i="1"/>
  <c r="V348" i="1"/>
  <c r="U348" i="1" s="1"/>
  <c r="AR347" i="1"/>
  <c r="AQ347" i="1"/>
  <c r="AP347" i="1"/>
  <c r="AO347" i="1"/>
  <c r="AM347" i="1"/>
  <c r="AL347" i="1"/>
  <c r="AK347" i="1"/>
  <c r="AJ347" i="1"/>
  <c r="AB347" i="1"/>
  <c r="AA347" i="1"/>
  <c r="V347" i="1"/>
  <c r="U347" i="1" s="1"/>
  <c r="AF347" i="1"/>
  <c r="AR346" i="1"/>
  <c r="AQ346" i="1"/>
  <c r="AP346" i="1"/>
  <c r="AO346" i="1"/>
  <c r="AM346" i="1"/>
  <c r="AL346" i="1"/>
  <c r="AK346" i="1"/>
  <c r="AJ346" i="1"/>
  <c r="AB346" i="1"/>
  <c r="AA346" i="1"/>
  <c r="V346" i="1"/>
  <c r="U346" i="1" s="1"/>
  <c r="AF346" i="1"/>
  <c r="AR345" i="1"/>
  <c r="AQ345" i="1"/>
  <c r="AP345" i="1"/>
  <c r="AO345" i="1"/>
  <c r="AM345" i="1"/>
  <c r="AL345" i="1"/>
  <c r="AK345" i="1"/>
  <c r="AJ345" i="1"/>
  <c r="AB345" i="1"/>
  <c r="AA345" i="1"/>
  <c r="V345" i="1"/>
  <c r="U345" i="1" s="1"/>
  <c r="R345" i="1" s="1"/>
  <c r="AF345" i="1"/>
  <c r="AR344" i="1"/>
  <c r="AQ344" i="1"/>
  <c r="AP344" i="1"/>
  <c r="AO344" i="1"/>
  <c r="AM344" i="1"/>
  <c r="AL344" i="1"/>
  <c r="AK344" i="1"/>
  <c r="AJ344" i="1"/>
  <c r="AB344" i="1"/>
  <c r="AA344" i="1"/>
  <c r="V344" i="1"/>
  <c r="U344" i="1" s="1"/>
  <c r="AF344" i="1"/>
  <c r="AR343" i="1"/>
  <c r="AQ343" i="1"/>
  <c r="AP343" i="1"/>
  <c r="AO343" i="1"/>
  <c r="AM343" i="1"/>
  <c r="AL343" i="1"/>
  <c r="AK343" i="1"/>
  <c r="AJ343" i="1"/>
  <c r="AF343" i="1"/>
  <c r="AB343" i="1"/>
  <c r="AA343" i="1"/>
  <c r="V343" i="1"/>
  <c r="U343" i="1" s="1"/>
  <c r="AR342" i="1"/>
  <c r="AQ342" i="1"/>
  <c r="AP342" i="1"/>
  <c r="AO342" i="1"/>
  <c r="AM342" i="1"/>
  <c r="AL342" i="1"/>
  <c r="AK342" i="1"/>
  <c r="AJ342" i="1"/>
  <c r="AF342" i="1"/>
  <c r="AB342" i="1"/>
  <c r="AA342" i="1"/>
  <c r="V342" i="1"/>
  <c r="U342" i="1" s="1"/>
  <c r="AR341" i="1"/>
  <c r="AQ341" i="1"/>
  <c r="AP341" i="1"/>
  <c r="AO341" i="1"/>
  <c r="AM341" i="1"/>
  <c r="AL341" i="1"/>
  <c r="AK341" i="1"/>
  <c r="AJ341" i="1"/>
  <c r="AB341" i="1"/>
  <c r="V341" i="1"/>
  <c r="U341" i="1" s="1"/>
  <c r="R341" i="1" s="1"/>
  <c r="Y341" i="1" s="1"/>
  <c r="AF341" i="1"/>
  <c r="AR339" i="1"/>
  <c r="AQ339" i="1"/>
  <c r="AP339" i="1"/>
  <c r="AO339" i="1"/>
  <c r="AM339" i="1"/>
  <c r="AL339" i="1"/>
  <c r="AK339" i="1"/>
  <c r="AJ339" i="1"/>
  <c r="AB339" i="1"/>
  <c r="AA339" i="1"/>
  <c r="V339" i="1"/>
  <c r="U339" i="1" s="1"/>
  <c r="R339" i="1" s="1"/>
  <c r="Y339" i="1" s="1"/>
  <c r="AF339" i="1"/>
  <c r="AR337" i="1"/>
  <c r="AQ337" i="1"/>
  <c r="AP337" i="1"/>
  <c r="AO337" i="1"/>
  <c r="AM337" i="1"/>
  <c r="AL337" i="1"/>
  <c r="AK337" i="1"/>
  <c r="AJ337" i="1"/>
  <c r="AF337" i="1"/>
  <c r="AB337" i="1"/>
  <c r="AA337" i="1"/>
  <c r="V337" i="1"/>
  <c r="U337" i="1" s="1"/>
  <c r="AR336" i="1"/>
  <c r="AQ336" i="1"/>
  <c r="AP336" i="1"/>
  <c r="AO336" i="1"/>
  <c r="AM336" i="1"/>
  <c r="AL336" i="1"/>
  <c r="AK336" i="1"/>
  <c r="AJ336" i="1"/>
  <c r="AB336" i="1"/>
  <c r="AA336" i="1"/>
  <c r="V336" i="1"/>
  <c r="U336" i="1" s="1"/>
  <c r="AF336" i="1"/>
  <c r="AR335" i="1"/>
  <c r="AQ335" i="1"/>
  <c r="AP335" i="1"/>
  <c r="AO335" i="1"/>
  <c r="AM335" i="1"/>
  <c r="AL335" i="1"/>
  <c r="AK335" i="1"/>
  <c r="AJ335" i="1"/>
  <c r="AB335" i="1"/>
  <c r="V335" i="1"/>
  <c r="U335" i="1" s="1"/>
  <c r="AF335" i="1"/>
  <c r="AR334" i="1"/>
  <c r="AQ334" i="1"/>
  <c r="AP334" i="1"/>
  <c r="AO334" i="1"/>
  <c r="AM334" i="1"/>
  <c r="AL334" i="1"/>
  <c r="AK334" i="1"/>
  <c r="AJ334" i="1"/>
  <c r="AB334" i="1"/>
  <c r="AA334" i="1"/>
  <c r="V334" i="1"/>
  <c r="U334" i="1" s="1"/>
  <c r="R334" i="1" s="1"/>
  <c r="Y334" i="1" s="1"/>
  <c r="AF334" i="1"/>
  <c r="AR333" i="1"/>
  <c r="AQ333" i="1"/>
  <c r="AP333" i="1"/>
  <c r="AO333" i="1"/>
  <c r="AM333" i="1"/>
  <c r="AL333" i="1"/>
  <c r="AK333" i="1"/>
  <c r="AJ333" i="1"/>
  <c r="AF333" i="1"/>
  <c r="AB333" i="1"/>
  <c r="AA333" i="1"/>
  <c r="V333" i="1"/>
  <c r="U333" i="1" s="1"/>
  <c r="AR332" i="1"/>
  <c r="AQ332" i="1"/>
  <c r="AP332" i="1"/>
  <c r="AO332" i="1"/>
  <c r="AM332" i="1"/>
  <c r="AL332" i="1"/>
  <c r="AK332" i="1"/>
  <c r="AJ332" i="1"/>
  <c r="AB332" i="1"/>
  <c r="AA332" i="1"/>
  <c r="V332" i="1"/>
  <c r="U332" i="1" s="1"/>
  <c r="AF332" i="1"/>
  <c r="AR331" i="1"/>
  <c r="AQ331" i="1"/>
  <c r="AP331" i="1"/>
  <c r="AO331" i="1"/>
  <c r="AM331" i="1"/>
  <c r="AL331" i="1"/>
  <c r="AK331" i="1"/>
  <c r="AJ331" i="1"/>
  <c r="AB331" i="1"/>
  <c r="AA331" i="1"/>
  <c r="V331" i="1"/>
  <c r="U331" i="1" s="1"/>
  <c r="R331" i="1" s="1"/>
  <c r="Y331" i="1" s="1"/>
  <c r="AF331" i="1"/>
  <c r="AR327" i="1"/>
  <c r="AQ327" i="1"/>
  <c r="AP327" i="1"/>
  <c r="AM327" i="1"/>
  <c r="AL327" i="1"/>
  <c r="AK327" i="1"/>
  <c r="AB327" i="1"/>
  <c r="V327" i="1"/>
  <c r="U327" i="1" s="1"/>
  <c r="R327" i="1" s="1"/>
  <c r="AA327" i="1" s="1"/>
  <c r="AF327" i="1"/>
  <c r="AR325" i="1"/>
  <c r="AQ325" i="1"/>
  <c r="AP325" i="1"/>
  <c r="AO325" i="1"/>
  <c r="AM325" i="1"/>
  <c r="AL325" i="1"/>
  <c r="AK325" i="1"/>
  <c r="AJ325" i="1"/>
  <c r="AB325" i="1"/>
  <c r="AA325" i="1"/>
  <c r="V325" i="1"/>
  <c r="U325" i="1" s="1"/>
  <c r="AF325" i="1"/>
  <c r="AR324" i="1"/>
  <c r="AQ324" i="1"/>
  <c r="AP324" i="1"/>
  <c r="AO324" i="1"/>
  <c r="AM324" i="1"/>
  <c r="AL324" i="1"/>
  <c r="AK324" i="1"/>
  <c r="AJ324" i="1"/>
  <c r="AF324" i="1"/>
  <c r="AB324" i="1"/>
  <c r="AA324" i="1"/>
  <c r="V324" i="1"/>
  <c r="U324" i="1" s="1"/>
  <c r="R324" i="1" s="1"/>
  <c r="Y324" i="1" s="1"/>
  <c r="AR323" i="1"/>
  <c r="AQ323" i="1"/>
  <c r="AP323" i="1"/>
  <c r="AO323" i="1"/>
  <c r="AM323" i="1"/>
  <c r="AL323" i="1"/>
  <c r="AK323" i="1"/>
  <c r="AJ323" i="1"/>
  <c r="AB323" i="1"/>
  <c r="AA323" i="1"/>
  <c r="V323" i="1"/>
  <c r="U323" i="1" s="1"/>
  <c r="AF323" i="1"/>
  <c r="AR322" i="1"/>
  <c r="AQ322" i="1"/>
  <c r="AP322" i="1"/>
  <c r="AO322" i="1"/>
  <c r="AM322" i="1"/>
  <c r="AL322" i="1"/>
  <c r="AK322" i="1"/>
  <c r="AJ322" i="1"/>
  <c r="AB322" i="1"/>
  <c r="AA322" i="1"/>
  <c r="V322" i="1"/>
  <c r="U322" i="1" s="1"/>
  <c r="R322" i="1" s="1"/>
  <c r="Y322" i="1" s="1"/>
  <c r="AF322" i="1"/>
  <c r="AR321" i="1"/>
  <c r="AQ321" i="1"/>
  <c r="AP321" i="1"/>
  <c r="AO321" i="1"/>
  <c r="AM321" i="1"/>
  <c r="AL321" i="1"/>
  <c r="AK321" i="1"/>
  <c r="AJ321" i="1"/>
  <c r="AF321" i="1"/>
  <c r="AB321" i="1"/>
  <c r="AA321" i="1"/>
  <c r="V321" i="1"/>
  <c r="U321" i="1" s="1"/>
  <c r="AR320" i="1"/>
  <c r="AQ320" i="1"/>
  <c r="AP320" i="1"/>
  <c r="AM320" i="1"/>
  <c r="AL320" i="1"/>
  <c r="AK320" i="1"/>
  <c r="AB320" i="1"/>
  <c r="AA320" i="1"/>
  <c r="V320" i="1"/>
  <c r="U320" i="1" s="1"/>
  <c r="R320" i="1" s="1"/>
  <c r="AF320" i="1"/>
  <c r="AR319" i="1"/>
  <c r="AQ319" i="1"/>
  <c r="AP319" i="1"/>
  <c r="AO319" i="1"/>
  <c r="AM319" i="1"/>
  <c r="AL319" i="1"/>
  <c r="AK319" i="1"/>
  <c r="AJ319" i="1"/>
  <c r="AB319" i="1"/>
  <c r="V319" i="1"/>
  <c r="U319" i="1" s="1"/>
  <c r="R319" i="1" s="1"/>
  <c r="Y319" i="1" s="1"/>
  <c r="AF319" i="1"/>
  <c r="AD344" i="1" l="1"/>
  <c r="AH344" i="1" s="1"/>
  <c r="AG344" i="1" s="1"/>
  <c r="AD293" i="1"/>
  <c r="AH293" i="1" s="1"/>
  <c r="AG293" i="1" s="1"/>
  <c r="AD294" i="1"/>
  <c r="R293" i="1"/>
  <c r="Y293" i="1" s="1"/>
  <c r="AD364" i="1"/>
  <c r="AH364" i="1" s="1"/>
  <c r="AG364" i="1" s="1"/>
  <c r="R364" i="1"/>
  <c r="Y364" i="1" s="1"/>
  <c r="AJ327" i="1"/>
  <c r="AJ366" i="1" s="1"/>
  <c r="AJ367" i="1" s="1"/>
  <c r="AO327" i="1"/>
  <c r="AO366" i="1" s="1"/>
  <c r="AO367" i="1" s="1"/>
  <c r="AD358" i="1"/>
  <c r="AH358" i="1" s="1"/>
  <c r="AG358" i="1" s="1"/>
  <c r="R358" i="1"/>
  <c r="AD350" i="1"/>
  <c r="AH350" i="1" s="1"/>
  <c r="AG350" i="1" s="1"/>
  <c r="AD343" i="1"/>
  <c r="AH343" i="1" s="1"/>
  <c r="AG343" i="1" s="1"/>
  <c r="AD325" i="1"/>
  <c r="AH325" i="1" s="1"/>
  <c r="AG325" i="1" s="1"/>
  <c r="Y349" i="1"/>
  <c r="AD331" i="1"/>
  <c r="AH331" i="1" s="1"/>
  <c r="AG331" i="1" s="1"/>
  <c r="Y332" i="1"/>
  <c r="Y342" i="1"/>
  <c r="Y350" i="1"/>
  <c r="Y335" i="1"/>
  <c r="Y345" i="1"/>
  <c r="Y353" i="1"/>
  <c r="Y365" i="1"/>
  <c r="AH294" i="1"/>
  <c r="AG294" i="1" s="1"/>
  <c r="R294" i="1"/>
  <c r="AD360" i="1"/>
  <c r="AH360" i="1" s="1"/>
  <c r="AG360" i="1" s="1"/>
  <c r="AD365" i="1"/>
  <c r="AH365" i="1" s="1"/>
  <c r="AG365" i="1" s="1"/>
  <c r="Y327" i="1"/>
  <c r="Y348" i="1"/>
  <c r="Y356" i="1"/>
  <c r="AD324" i="1"/>
  <c r="AH324" i="1" s="1"/>
  <c r="AG324" i="1" s="1"/>
  <c r="Y323" i="1"/>
  <c r="Y357" i="1"/>
  <c r="AD336" i="1"/>
  <c r="AH336" i="1" s="1"/>
  <c r="AG336" i="1" s="1"/>
  <c r="AD295" i="1"/>
  <c r="AH295" i="1" s="1"/>
  <c r="AG295" i="1" s="1"/>
  <c r="Y295" i="1"/>
  <c r="AD335" i="1"/>
  <c r="AH335" i="1" s="1"/>
  <c r="AG335" i="1" s="1"/>
  <c r="Y321" i="1"/>
  <c r="Y325" i="1"/>
  <c r="Y337" i="1"/>
  <c r="Y347" i="1"/>
  <c r="Y355" i="1"/>
  <c r="AD337" i="1"/>
  <c r="AH337" i="1" s="1"/>
  <c r="AG337" i="1" s="1"/>
  <c r="AD348" i="1"/>
  <c r="AH348" i="1" s="1"/>
  <c r="AG348" i="1" s="1"/>
  <c r="AD353" i="1"/>
  <c r="AH353" i="1" s="1"/>
  <c r="AG353" i="1" s="1"/>
  <c r="AD355" i="1"/>
  <c r="AH355" i="1" s="1"/>
  <c r="AG355" i="1" s="1"/>
  <c r="Y320" i="1"/>
  <c r="Y333" i="1"/>
  <c r="Y343" i="1"/>
  <c r="Y351" i="1"/>
  <c r="Y360" i="1"/>
  <c r="Y336" i="1"/>
  <c r="Y346" i="1"/>
  <c r="Y354" i="1"/>
  <c r="AD349" i="1"/>
  <c r="AH349" i="1" s="1"/>
  <c r="AG349" i="1" s="1"/>
  <c r="AD354" i="1"/>
  <c r="AH354" i="1" s="1"/>
  <c r="AG354" i="1" s="1"/>
  <c r="AD319" i="1"/>
  <c r="AH319" i="1" s="1"/>
  <c r="AG319" i="1" s="1"/>
  <c r="AD320" i="1"/>
  <c r="AH320" i="1" s="1"/>
  <c r="AG320" i="1" s="1"/>
  <c r="AD347" i="1"/>
  <c r="AH347" i="1" s="1"/>
  <c r="AG347" i="1" s="1"/>
  <c r="Y344" i="1"/>
  <c r="Y352" i="1"/>
  <c r="AR366" i="1"/>
  <c r="AR367" i="1" s="1"/>
  <c r="AP366" i="1"/>
  <c r="AP367" i="1" s="1"/>
  <c r="AQ366" i="1"/>
  <c r="AQ367" i="1" s="1"/>
  <c r="AL366" i="1"/>
  <c r="AL367" i="1" s="1"/>
  <c r="AD345" i="1"/>
  <c r="AH345" i="1" s="1"/>
  <c r="AG345" i="1" s="1"/>
  <c r="AK366" i="1"/>
  <c r="AK367" i="1" s="1"/>
  <c r="AM366" i="1"/>
  <c r="AM367" i="1" s="1"/>
  <c r="AD332" i="1"/>
  <c r="AH332" i="1" s="1"/>
  <c r="AG332" i="1" s="1"/>
  <c r="AF366" i="1"/>
  <c r="AD333" i="1"/>
  <c r="AH333" i="1" s="1"/>
  <c r="AG333" i="1" s="1"/>
  <c r="AD334" i="1"/>
  <c r="AH334" i="1" s="1"/>
  <c r="AG334" i="1" s="1"/>
  <c r="AD321" i="1"/>
  <c r="AH321" i="1" s="1"/>
  <c r="AG321" i="1" s="1"/>
  <c r="AD322" i="1"/>
  <c r="AH322" i="1" s="1"/>
  <c r="AG322" i="1" s="1"/>
  <c r="AD357" i="1"/>
  <c r="AH357" i="1" s="1"/>
  <c r="AG357" i="1" s="1"/>
  <c r="AD339" i="1"/>
  <c r="AH339" i="1" s="1"/>
  <c r="AG339" i="1" s="1"/>
  <c r="AD351" i="1"/>
  <c r="AH351" i="1" s="1"/>
  <c r="AG351" i="1" s="1"/>
  <c r="AD356" i="1"/>
  <c r="AH356" i="1" s="1"/>
  <c r="AG356" i="1" s="1"/>
  <c r="AD342" i="1"/>
  <c r="AH342" i="1" s="1"/>
  <c r="AG342" i="1" s="1"/>
  <c r="AB366" i="1"/>
  <c r="AC366" i="1" s="1"/>
  <c r="AA335" i="1"/>
  <c r="AA341" i="1"/>
  <c r="AD346" i="1"/>
  <c r="AH346" i="1" s="1"/>
  <c r="AG346" i="1" s="1"/>
  <c r="AD341" i="1"/>
  <c r="AH341" i="1" s="1"/>
  <c r="AG341" i="1" s="1"/>
  <c r="AD352" i="1"/>
  <c r="AH352" i="1" s="1"/>
  <c r="AG352" i="1" s="1"/>
  <c r="I366" i="1"/>
  <c r="K366" i="1" s="1"/>
  <c r="AD323" i="1"/>
  <c r="AH323" i="1" s="1"/>
  <c r="AG323" i="1" s="1"/>
  <c r="AD327" i="1"/>
  <c r="AH327" i="1" s="1"/>
  <c r="AG327" i="1" s="1"/>
  <c r="Y282" i="1"/>
  <c r="Y358" i="1" l="1"/>
  <c r="AA358" i="1"/>
  <c r="AA366" i="1" s="1"/>
  <c r="R366" i="1" s="1"/>
  <c r="AS367" i="1"/>
  <c r="AN367" i="1"/>
  <c r="AS366" i="1"/>
  <c r="AA294" i="1"/>
  <c r="Y294" i="1"/>
  <c r="AN366" i="1"/>
  <c r="AG366" i="1"/>
  <c r="N366" i="1" s="1"/>
  <c r="AH366" i="1"/>
  <c r="AI366" i="1" s="1"/>
  <c r="N13" i="1"/>
  <c r="Z366" i="1" l="1"/>
  <c r="Q289" i="1"/>
  <c r="AR289" i="1"/>
  <c r="AQ289" i="1"/>
  <c r="AP289" i="1"/>
  <c r="AO289" i="1"/>
  <c r="AM289" i="1"/>
  <c r="AL289" i="1"/>
  <c r="AK289" i="1"/>
  <c r="AJ289" i="1"/>
  <c r="AB289" i="1"/>
  <c r="V289" i="1"/>
  <c r="U289" i="1" s="1"/>
  <c r="F289" i="1"/>
  <c r="G289" i="1" s="1"/>
  <c r="AF289" i="1" s="1"/>
  <c r="R289" i="1" l="1"/>
  <c r="Y289" i="1" s="1"/>
  <c r="AA289" i="1"/>
  <c r="AD289" i="1"/>
  <c r="AH289" i="1" s="1"/>
  <c r="AG289" i="1" s="1"/>
  <c r="P276" i="1"/>
  <c r="AR270" i="1" l="1"/>
  <c r="AQ270" i="1"/>
  <c r="AP270" i="1"/>
  <c r="AO270" i="1"/>
  <c r="AM270" i="1"/>
  <c r="AL270" i="1"/>
  <c r="AK270" i="1"/>
  <c r="AJ270" i="1"/>
  <c r="AB270" i="1"/>
  <c r="AA270" i="1"/>
  <c r="V270" i="1"/>
  <c r="U270" i="1" s="1"/>
  <c r="F270" i="1"/>
  <c r="G270" i="1" s="1"/>
  <c r="AF270" i="1" s="1"/>
  <c r="AR269" i="1"/>
  <c r="AQ269" i="1"/>
  <c r="AP269" i="1"/>
  <c r="AO269" i="1"/>
  <c r="AM269" i="1"/>
  <c r="AL269" i="1"/>
  <c r="AK269" i="1"/>
  <c r="AJ269" i="1"/>
  <c r="AF269" i="1"/>
  <c r="AB269" i="1"/>
  <c r="V269" i="1"/>
  <c r="U269" i="1" s="1"/>
  <c r="Q269" i="1"/>
  <c r="R270" i="1" l="1"/>
  <c r="Y270" i="1" s="1"/>
  <c r="AD270" i="1"/>
  <c r="AH270" i="1" s="1"/>
  <c r="AG270" i="1" s="1"/>
  <c r="AD269" i="1"/>
  <c r="AH269" i="1" s="1"/>
  <c r="AG269" i="1" s="1"/>
  <c r="R269" i="1"/>
  <c r="AA269" i="1" l="1"/>
  <c r="Y269" i="1"/>
  <c r="P282" i="1"/>
  <c r="AR266" i="1" l="1"/>
  <c r="AQ266" i="1"/>
  <c r="AP266" i="1"/>
  <c r="AO266" i="1"/>
  <c r="AM266" i="1"/>
  <c r="AL266" i="1"/>
  <c r="AK266" i="1"/>
  <c r="AJ266" i="1"/>
  <c r="AB266" i="1"/>
  <c r="AA266" i="1"/>
  <c r="V266" i="1"/>
  <c r="U266" i="1" s="1"/>
  <c r="Q266" i="1"/>
  <c r="F266" i="1"/>
  <c r="G266" i="1" s="1"/>
  <c r="AF266" i="1" s="1"/>
  <c r="AD266" i="1" l="1"/>
  <c r="AH266" i="1" s="1"/>
  <c r="AG266" i="1" s="1"/>
  <c r="R266" i="1"/>
  <c r="Y266" i="1" s="1"/>
  <c r="F247" i="1"/>
  <c r="G247" i="1" s="1"/>
  <c r="AR242" i="1" l="1"/>
  <c r="AQ242" i="1"/>
  <c r="AP242" i="1"/>
  <c r="AO242" i="1"/>
  <c r="AM242" i="1"/>
  <c r="AL242" i="1"/>
  <c r="AK242" i="1"/>
  <c r="AJ242" i="1"/>
  <c r="AF242" i="1"/>
  <c r="AB242" i="1"/>
  <c r="AA242" i="1"/>
  <c r="V242" i="1"/>
  <c r="U242" i="1" s="1"/>
  <c r="AD242" i="1" s="1"/>
  <c r="AH242" i="1" s="1"/>
  <c r="AG242" i="1" s="1"/>
  <c r="R242" i="1"/>
  <c r="Q242" i="1"/>
  <c r="F242" i="1"/>
  <c r="G242" i="1" s="1"/>
  <c r="Y242" i="1" l="1"/>
  <c r="AR285" i="1"/>
  <c r="AQ285" i="1"/>
  <c r="AP285" i="1"/>
  <c r="AO285" i="1"/>
  <c r="AM285" i="1"/>
  <c r="AL285" i="1"/>
  <c r="AK285" i="1"/>
  <c r="AJ285" i="1"/>
  <c r="AB285" i="1"/>
  <c r="AA285" i="1"/>
  <c r="V285" i="1"/>
  <c r="U285" i="1" s="1"/>
  <c r="Q285" i="1"/>
  <c r="F285" i="1"/>
  <c r="G285" i="1" s="1"/>
  <c r="AF285" i="1" s="1"/>
  <c r="R285" i="1" l="1"/>
  <c r="Y285" i="1" s="1"/>
  <c r="AD285" i="1"/>
  <c r="AH285" i="1" s="1"/>
  <c r="AG285" i="1" s="1"/>
  <c r="Q244" i="1"/>
  <c r="AR247" i="1" l="1"/>
  <c r="AQ247" i="1"/>
  <c r="AP247" i="1"/>
  <c r="AO247" i="1"/>
  <c r="AM247" i="1"/>
  <c r="AL247" i="1"/>
  <c r="AK247" i="1"/>
  <c r="AJ247" i="1"/>
  <c r="AB247" i="1"/>
  <c r="AA247" i="1"/>
  <c r="V247" i="1"/>
  <c r="U247" i="1" s="1"/>
  <c r="Q247" i="1"/>
  <c r="AF247" i="1"/>
  <c r="AR246" i="1"/>
  <c r="AQ246" i="1"/>
  <c r="AP246" i="1"/>
  <c r="AO246" i="1"/>
  <c r="AM246" i="1"/>
  <c r="AL246" i="1"/>
  <c r="AK246" i="1"/>
  <c r="AJ246" i="1"/>
  <c r="AB246" i="1"/>
  <c r="V246" i="1"/>
  <c r="U246" i="1" s="1"/>
  <c r="F246" i="1"/>
  <c r="G246" i="1" s="1"/>
  <c r="AF246" i="1" s="1"/>
  <c r="AR265" i="1"/>
  <c r="AQ265" i="1"/>
  <c r="AP265" i="1"/>
  <c r="AO265" i="1"/>
  <c r="AM265" i="1"/>
  <c r="AL265" i="1"/>
  <c r="AK265" i="1"/>
  <c r="AJ265" i="1"/>
  <c r="AB265" i="1"/>
  <c r="AA265" i="1"/>
  <c r="V265" i="1"/>
  <c r="U265" i="1" s="1"/>
  <c r="Q265" i="1"/>
  <c r="F265" i="1"/>
  <c r="G265" i="1" s="1"/>
  <c r="AF265" i="1" s="1"/>
  <c r="R247" i="1" l="1"/>
  <c r="Y247" i="1" s="1"/>
  <c r="AD247" i="1"/>
  <c r="AH247" i="1" s="1"/>
  <c r="AG247" i="1" s="1"/>
  <c r="AD246" i="1"/>
  <c r="AH246" i="1" s="1"/>
  <c r="AG246" i="1" s="1"/>
  <c r="R246" i="1"/>
  <c r="R265" i="1"/>
  <c r="Y265" i="1" s="1"/>
  <c r="AD265" i="1"/>
  <c r="AH265" i="1" s="1"/>
  <c r="AG265" i="1" s="1"/>
  <c r="P279" i="1"/>
  <c r="Y246" i="1" l="1"/>
  <c r="AA246" i="1"/>
  <c r="AR264" i="1"/>
  <c r="AQ264" i="1"/>
  <c r="AP264" i="1"/>
  <c r="AO264" i="1"/>
  <c r="AM264" i="1"/>
  <c r="AL264" i="1"/>
  <c r="AK264" i="1"/>
  <c r="AJ264" i="1"/>
  <c r="AB264" i="1"/>
  <c r="V264" i="1"/>
  <c r="U264" i="1" s="1"/>
  <c r="AD264" i="1" s="1"/>
  <c r="Q264" i="1"/>
  <c r="F264" i="1"/>
  <c r="G264" i="1" s="1"/>
  <c r="AF264" i="1" s="1"/>
  <c r="AH264" i="1" l="1"/>
  <c r="AG264" i="1" s="1"/>
  <c r="R264" i="1"/>
  <c r="AR237" i="1"/>
  <c r="AQ237" i="1"/>
  <c r="AP237" i="1"/>
  <c r="AO237" i="1"/>
  <c r="AM237" i="1"/>
  <c r="AL237" i="1"/>
  <c r="AK237" i="1"/>
  <c r="AJ237" i="1"/>
  <c r="AB237" i="1"/>
  <c r="AA237" i="1"/>
  <c r="V237" i="1"/>
  <c r="U237" i="1" s="1"/>
  <c r="F237" i="1"/>
  <c r="G237" i="1" s="1"/>
  <c r="AF237" i="1" s="1"/>
  <c r="AR249" i="1"/>
  <c r="AQ249" i="1"/>
  <c r="AP249" i="1"/>
  <c r="AO249" i="1"/>
  <c r="AM249" i="1"/>
  <c r="AL249" i="1"/>
  <c r="AK249" i="1"/>
  <c r="AJ249" i="1"/>
  <c r="AF249" i="1"/>
  <c r="AB249" i="1"/>
  <c r="AA249" i="1"/>
  <c r="V249" i="1"/>
  <c r="U249" i="1" s="1"/>
  <c r="R249" i="1"/>
  <c r="Q249" i="1"/>
  <c r="F249" i="1"/>
  <c r="G249" i="1" s="1"/>
  <c r="F253" i="1"/>
  <c r="AA252" i="1"/>
  <c r="R237" i="1" l="1"/>
  <c r="Y237" i="1" s="1"/>
  <c r="AD237" i="1"/>
  <c r="AH237" i="1" s="1"/>
  <c r="AG237" i="1" s="1"/>
  <c r="AD249" i="1"/>
  <c r="AH249" i="1" s="1"/>
  <c r="AG249" i="1" s="1"/>
  <c r="Y249" i="1"/>
  <c r="Y264" i="1"/>
  <c r="AA264" i="1"/>
  <c r="AQ216" i="1"/>
  <c r="AP216" i="1"/>
  <c r="AO216" i="1"/>
  <c r="AL216" i="1"/>
  <c r="AK216" i="1"/>
  <c r="AJ216" i="1"/>
  <c r="AB216" i="1"/>
  <c r="AA216" i="1"/>
  <c r="V216" i="1"/>
  <c r="U216" i="1" s="1"/>
  <c r="F216" i="1"/>
  <c r="G216" i="1" s="1"/>
  <c r="AF216" i="1" s="1"/>
  <c r="R216" i="1" l="1"/>
  <c r="Y216" i="1" s="1"/>
  <c r="AR216" i="1"/>
  <c r="AD216" i="1"/>
  <c r="AH216" i="1" s="1"/>
  <c r="AG216" i="1" s="1"/>
  <c r="AM216" i="1"/>
  <c r="F227" i="1"/>
  <c r="G227" i="1" s="1"/>
  <c r="AF227" i="1" s="1"/>
  <c r="AR227" i="1"/>
  <c r="AQ227" i="1"/>
  <c r="AP227" i="1"/>
  <c r="AO227" i="1"/>
  <c r="AM227" i="1"/>
  <c r="AL227" i="1"/>
  <c r="AK227" i="1"/>
  <c r="AJ227" i="1"/>
  <c r="AB227" i="1"/>
  <c r="AA227" i="1"/>
  <c r="V227" i="1"/>
  <c r="U227" i="1" s="1"/>
  <c r="R227" i="1"/>
  <c r="Q227" i="1"/>
  <c r="F226" i="1"/>
  <c r="Q226" i="1"/>
  <c r="V226" i="1"/>
  <c r="U226" i="1" s="1"/>
  <c r="AB226" i="1"/>
  <c r="AJ226" i="1"/>
  <c r="AK226" i="1"/>
  <c r="AL226" i="1"/>
  <c r="AM226" i="1"/>
  <c r="AO226" i="1"/>
  <c r="AP226" i="1"/>
  <c r="AQ226" i="1"/>
  <c r="AR226" i="1"/>
  <c r="G226" i="1" l="1"/>
  <c r="AF226" i="1" s="1"/>
  <c r="AD226" i="1"/>
  <c r="AD227" i="1"/>
  <c r="AH227" i="1" s="1"/>
  <c r="AG227" i="1" s="1"/>
  <c r="R226" i="1"/>
  <c r="Y227" i="1"/>
  <c r="Q298" i="1"/>
  <c r="AH226" i="1" l="1"/>
  <c r="AG226" i="1" s="1"/>
  <c r="Y226" i="1"/>
  <c r="AA226" i="1"/>
  <c r="AR228" i="1"/>
  <c r="AQ228" i="1"/>
  <c r="AP228" i="1"/>
  <c r="AO228" i="1"/>
  <c r="AM228" i="1"/>
  <c r="AL228" i="1"/>
  <c r="AK228" i="1"/>
  <c r="AJ228" i="1"/>
  <c r="AB228" i="1"/>
  <c r="AA228" i="1"/>
  <c r="V228" i="1"/>
  <c r="U228" i="1" s="1"/>
  <c r="R228" i="1" s="1"/>
  <c r="Y228" i="1" s="1"/>
  <c r="F228" i="1"/>
  <c r="G228" i="1" l="1"/>
  <c r="AF228" i="1" s="1"/>
  <c r="AD228" i="1"/>
  <c r="AR245" i="1"/>
  <c r="AQ245" i="1"/>
  <c r="AP245" i="1"/>
  <c r="AO245" i="1"/>
  <c r="AM245" i="1"/>
  <c r="AL245" i="1"/>
  <c r="AK245" i="1"/>
  <c r="AJ245" i="1"/>
  <c r="AB245" i="1"/>
  <c r="AA245" i="1"/>
  <c r="V245" i="1"/>
  <c r="U245" i="1" s="1"/>
  <c r="Q245" i="1"/>
  <c r="F245" i="1"/>
  <c r="G245" i="1" s="1"/>
  <c r="AF245" i="1" s="1"/>
  <c r="AR214" i="1"/>
  <c r="AQ214" i="1"/>
  <c r="AP214" i="1"/>
  <c r="AO214" i="1"/>
  <c r="AM214" i="1"/>
  <c r="AL214" i="1"/>
  <c r="AK214" i="1"/>
  <c r="AJ214" i="1"/>
  <c r="AB214" i="1"/>
  <c r="AA214" i="1"/>
  <c r="V214" i="1"/>
  <c r="U214" i="1" s="1"/>
  <c r="R214" i="1" s="1"/>
  <c r="Y214" i="1" s="1"/>
  <c r="F214" i="1"/>
  <c r="G214" i="1" s="1"/>
  <c r="AF214" i="1" s="1"/>
  <c r="R245" i="1" l="1"/>
  <c r="Y245" i="1" s="1"/>
  <c r="AD245" i="1"/>
  <c r="AH245" i="1" s="1"/>
  <c r="AG245" i="1" s="1"/>
  <c r="AH228" i="1"/>
  <c r="AG228" i="1" s="1"/>
  <c r="AD214" i="1"/>
  <c r="AH214" i="1" s="1"/>
  <c r="AG214" i="1" s="1"/>
  <c r="R209" i="1"/>
  <c r="Q208" i="1"/>
  <c r="AR220" i="1" l="1"/>
  <c r="AQ220" i="1"/>
  <c r="AP220" i="1"/>
  <c r="AO220" i="1"/>
  <c r="AM220" i="1"/>
  <c r="AL220" i="1"/>
  <c r="AK220" i="1"/>
  <c r="AJ220" i="1"/>
  <c r="AB220" i="1"/>
  <c r="AA220" i="1"/>
  <c r="V220" i="1"/>
  <c r="U220" i="1" s="1"/>
  <c r="Q220" i="1"/>
  <c r="F220" i="1"/>
  <c r="G220" i="1" s="1"/>
  <c r="AF220" i="1" s="1"/>
  <c r="R220" i="1" l="1"/>
  <c r="Y220" i="1" s="1"/>
  <c r="AD220" i="1"/>
  <c r="AH220" i="1" s="1"/>
  <c r="AG220" i="1" s="1"/>
  <c r="AR282" i="1"/>
  <c r="AQ282" i="1"/>
  <c r="AP282" i="1"/>
  <c r="AO282" i="1"/>
  <c r="AM282" i="1"/>
  <c r="AL282" i="1"/>
  <c r="AK282" i="1"/>
  <c r="AJ282" i="1"/>
  <c r="AB282" i="1"/>
  <c r="AA282" i="1"/>
  <c r="V282" i="1"/>
  <c r="U282" i="1" s="1"/>
  <c r="F282" i="1"/>
  <c r="G282" i="1" s="1"/>
  <c r="AF282" i="1" s="1"/>
  <c r="AD282" i="1" l="1"/>
  <c r="AH282" i="1" s="1"/>
  <c r="AG282" i="1" s="1"/>
  <c r="AR238" i="1"/>
  <c r="AQ238" i="1"/>
  <c r="AP238" i="1"/>
  <c r="AO238" i="1"/>
  <c r="AM238" i="1"/>
  <c r="AL238" i="1"/>
  <c r="AK238" i="1"/>
  <c r="AJ238" i="1"/>
  <c r="AB238" i="1"/>
  <c r="AA238" i="1"/>
  <c r="V238" i="1"/>
  <c r="U238" i="1" s="1"/>
  <c r="Q238" i="1"/>
  <c r="F238" i="1"/>
  <c r="G238" i="1" s="1"/>
  <c r="AF238" i="1" s="1"/>
  <c r="AR209" i="1"/>
  <c r="AQ209" i="1"/>
  <c r="AP209" i="1"/>
  <c r="AO209" i="1"/>
  <c r="AM209" i="1"/>
  <c r="AL209" i="1"/>
  <c r="AK209" i="1"/>
  <c r="AJ209" i="1"/>
  <c r="AB209" i="1"/>
  <c r="V209" i="1"/>
  <c r="F209" i="1"/>
  <c r="G209" i="1" s="1"/>
  <c r="AF209" i="1" s="1"/>
  <c r="Q240" i="1"/>
  <c r="AD238" i="1" l="1"/>
  <c r="AH238" i="1" s="1"/>
  <c r="AG238" i="1" s="1"/>
  <c r="R238" i="1"/>
  <c r="Y238" i="1" s="1"/>
  <c r="AD209" i="1"/>
  <c r="AH209" i="1" s="1"/>
  <c r="AG209" i="1" s="1"/>
  <c r="AR206" i="1"/>
  <c r="AQ206" i="1"/>
  <c r="AP206" i="1"/>
  <c r="AO206" i="1"/>
  <c r="AM206" i="1"/>
  <c r="AL206" i="1"/>
  <c r="AK206" i="1"/>
  <c r="AJ206" i="1"/>
  <c r="AB206" i="1"/>
  <c r="AA206" i="1"/>
  <c r="V206" i="1"/>
  <c r="U206" i="1" s="1"/>
  <c r="R206" i="1" s="1"/>
  <c r="Y206" i="1" s="1"/>
  <c r="F206" i="1"/>
  <c r="G206" i="1" s="1"/>
  <c r="AF206" i="1" s="1"/>
  <c r="AR230" i="1"/>
  <c r="AQ230" i="1"/>
  <c r="AP230" i="1"/>
  <c r="AO230" i="1"/>
  <c r="AM230" i="1"/>
  <c r="AL230" i="1"/>
  <c r="AK230" i="1"/>
  <c r="AJ230" i="1"/>
  <c r="AB230" i="1"/>
  <c r="AA230" i="1"/>
  <c r="V230" i="1"/>
  <c r="U230" i="1" s="1"/>
  <c r="Q230" i="1"/>
  <c r="F230" i="1"/>
  <c r="G230" i="1" s="1"/>
  <c r="AF230" i="1" s="1"/>
  <c r="B273" i="1"/>
  <c r="AR271" i="1"/>
  <c r="AQ271" i="1"/>
  <c r="AP271" i="1"/>
  <c r="AO271" i="1"/>
  <c r="AM271" i="1"/>
  <c r="AL271" i="1"/>
  <c r="AK271" i="1"/>
  <c r="AJ271" i="1"/>
  <c r="AB271" i="1"/>
  <c r="AA271" i="1"/>
  <c r="V271" i="1"/>
  <c r="U271" i="1" s="1"/>
  <c r="R271" i="1"/>
  <c r="Q271" i="1"/>
  <c r="F271" i="1"/>
  <c r="G271" i="1" s="1"/>
  <c r="AF271" i="1" s="1"/>
  <c r="AR268" i="1"/>
  <c r="AQ268" i="1"/>
  <c r="AP268" i="1"/>
  <c r="AO268" i="1"/>
  <c r="AM268" i="1"/>
  <c r="AL268" i="1"/>
  <c r="AK268" i="1"/>
  <c r="AJ268" i="1"/>
  <c r="AB268" i="1"/>
  <c r="AA268" i="1"/>
  <c r="V268" i="1"/>
  <c r="U268" i="1" s="1"/>
  <c r="R268" i="1"/>
  <c r="Q268" i="1"/>
  <c r="F268" i="1"/>
  <c r="G268" i="1" s="1"/>
  <c r="AF268" i="1" s="1"/>
  <c r="AR267" i="1"/>
  <c r="AQ267" i="1"/>
  <c r="AP267" i="1"/>
  <c r="AO267" i="1"/>
  <c r="AM267" i="1"/>
  <c r="AL267" i="1"/>
  <c r="AK267" i="1"/>
  <c r="AJ267" i="1"/>
  <c r="AB267" i="1"/>
  <c r="AA267" i="1"/>
  <c r="V267" i="1"/>
  <c r="U267" i="1" s="1"/>
  <c r="Q267" i="1"/>
  <c r="F267" i="1"/>
  <c r="G267" i="1" s="1"/>
  <c r="AF267" i="1" s="1"/>
  <c r="AR263" i="1"/>
  <c r="AQ263" i="1"/>
  <c r="AP263" i="1"/>
  <c r="AO263" i="1"/>
  <c r="AM263" i="1"/>
  <c r="AL263" i="1"/>
  <c r="AK263" i="1"/>
  <c r="AJ263" i="1"/>
  <c r="AB263" i="1"/>
  <c r="V263" i="1"/>
  <c r="U263" i="1" s="1"/>
  <c r="Q263" i="1"/>
  <c r="F263" i="1"/>
  <c r="G263" i="1" s="1"/>
  <c r="AF263" i="1" s="1"/>
  <c r="AR262" i="1"/>
  <c r="AQ262" i="1"/>
  <c r="AP262" i="1"/>
  <c r="AO262" i="1"/>
  <c r="AM262" i="1"/>
  <c r="AL262" i="1"/>
  <c r="AK262" i="1"/>
  <c r="AJ262" i="1"/>
  <c r="AB262" i="1"/>
  <c r="AA262" i="1"/>
  <c r="V262" i="1"/>
  <c r="U262" i="1" s="1"/>
  <c r="R262" i="1"/>
  <c r="Q262" i="1"/>
  <c r="F262" i="1"/>
  <c r="G262" i="1" s="1"/>
  <c r="AF262" i="1" s="1"/>
  <c r="AR261" i="1"/>
  <c r="AQ261" i="1"/>
  <c r="AP261" i="1"/>
  <c r="AO261" i="1"/>
  <c r="AM261" i="1"/>
  <c r="AL261" i="1"/>
  <c r="AK261" i="1"/>
  <c r="AJ261" i="1"/>
  <c r="AF261" i="1"/>
  <c r="AB261" i="1"/>
  <c r="AA261" i="1"/>
  <c r="V261" i="1"/>
  <c r="U261" i="1" s="1"/>
  <c r="R261" i="1"/>
  <c r="Q261" i="1"/>
  <c r="F261" i="1"/>
  <c r="G261" i="1" s="1"/>
  <c r="AR260" i="1"/>
  <c r="AQ260" i="1"/>
  <c r="AP260" i="1"/>
  <c r="AO260" i="1"/>
  <c r="AM260" i="1"/>
  <c r="AL260" i="1"/>
  <c r="AK260" i="1"/>
  <c r="AJ260" i="1"/>
  <c r="AF260" i="1"/>
  <c r="AB260" i="1"/>
  <c r="AA260" i="1"/>
  <c r="V260" i="1"/>
  <c r="U260" i="1" s="1"/>
  <c r="R260" i="1"/>
  <c r="Q260" i="1"/>
  <c r="F260" i="1"/>
  <c r="G260" i="1" s="1"/>
  <c r="AR259" i="1"/>
  <c r="AQ259" i="1"/>
  <c r="AP259" i="1"/>
  <c r="AO259" i="1"/>
  <c r="AM259" i="1"/>
  <c r="AL259" i="1"/>
  <c r="AK259" i="1"/>
  <c r="AJ259" i="1"/>
  <c r="AB259" i="1"/>
  <c r="V259" i="1"/>
  <c r="U259" i="1" s="1"/>
  <c r="Q259" i="1"/>
  <c r="F259" i="1"/>
  <c r="G259" i="1" s="1"/>
  <c r="AF259" i="1" s="1"/>
  <c r="AR258" i="1"/>
  <c r="AQ258" i="1"/>
  <c r="AP258" i="1"/>
  <c r="AO258" i="1"/>
  <c r="AM258" i="1"/>
  <c r="AL258" i="1"/>
  <c r="AK258" i="1"/>
  <c r="AJ258" i="1"/>
  <c r="AF258" i="1"/>
  <c r="AB258" i="1"/>
  <c r="AA258" i="1"/>
  <c r="V258" i="1"/>
  <c r="U258" i="1" s="1"/>
  <c r="R258" i="1"/>
  <c r="Q258" i="1"/>
  <c r="F258" i="1"/>
  <c r="G258" i="1" s="1"/>
  <c r="AR257" i="1"/>
  <c r="AQ257" i="1"/>
  <c r="AP257" i="1"/>
  <c r="AO257" i="1"/>
  <c r="AM257" i="1"/>
  <c r="AL257" i="1"/>
  <c r="AK257" i="1"/>
  <c r="AJ257" i="1"/>
  <c r="AB257" i="1"/>
  <c r="AA257" i="1"/>
  <c r="V257" i="1"/>
  <c r="U257" i="1" s="1"/>
  <c r="R257" i="1"/>
  <c r="Q257" i="1"/>
  <c r="F257" i="1"/>
  <c r="G257" i="1" s="1"/>
  <c r="AF257" i="1" s="1"/>
  <c r="AR256" i="1"/>
  <c r="AQ256" i="1"/>
  <c r="AP256" i="1"/>
  <c r="AO256" i="1"/>
  <c r="AM256" i="1"/>
  <c r="AL256" i="1"/>
  <c r="AK256" i="1"/>
  <c r="AJ256" i="1"/>
  <c r="AF256" i="1"/>
  <c r="AB256" i="1"/>
  <c r="AA256" i="1"/>
  <c r="V256" i="1"/>
  <c r="U256" i="1" s="1"/>
  <c r="R256" i="1"/>
  <c r="Q256" i="1"/>
  <c r="F256" i="1"/>
  <c r="G256" i="1" s="1"/>
  <c r="AR255" i="1"/>
  <c r="AQ255" i="1"/>
  <c r="AP255" i="1"/>
  <c r="AO255" i="1"/>
  <c r="AM255" i="1"/>
  <c r="AL255" i="1"/>
  <c r="AK255" i="1"/>
  <c r="AJ255" i="1"/>
  <c r="AB255" i="1"/>
  <c r="V255" i="1"/>
  <c r="U255" i="1" s="1"/>
  <c r="Q255" i="1"/>
  <c r="F255" i="1"/>
  <c r="G255" i="1" s="1"/>
  <c r="AF255" i="1" s="1"/>
  <c r="AR254" i="1"/>
  <c r="AQ254" i="1"/>
  <c r="AP254" i="1"/>
  <c r="AO254" i="1"/>
  <c r="AM254" i="1"/>
  <c r="AL254" i="1"/>
  <c r="AK254" i="1"/>
  <c r="AJ254" i="1"/>
  <c r="AB254" i="1"/>
  <c r="AA254" i="1"/>
  <c r="V254" i="1"/>
  <c r="U254" i="1" s="1"/>
  <c r="Q254" i="1"/>
  <c r="F254" i="1"/>
  <c r="G254" i="1" s="1"/>
  <c r="AF254" i="1" s="1"/>
  <c r="AR253" i="1"/>
  <c r="AQ253" i="1"/>
  <c r="AP253" i="1"/>
  <c r="AO253" i="1"/>
  <c r="AM253" i="1"/>
  <c r="AL253" i="1"/>
  <c r="AK253" i="1"/>
  <c r="AJ253" i="1"/>
  <c r="AF253" i="1"/>
  <c r="AB253" i="1"/>
  <c r="V253" i="1"/>
  <c r="U253" i="1" s="1"/>
  <c r="Q253" i="1"/>
  <c r="G253" i="1"/>
  <c r="AR252" i="1"/>
  <c r="AQ252" i="1"/>
  <c r="AP252" i="1"/>
  <c r="AO252" i="1"/>
  <c r="AM252" i="1"/>
  <c r="AL252" i="1"/>
  <c r="AK252" i="1"/>
  <c r="AJ252" i="1"/>
  <c r="AB252" i="1"/>
  <c r="V252" i="1"/>
  <c r="U252" i="1" s="1"/>
  <c r="R252" i="1" s="1"/>
  <c r="F252" i="1"/>
  <c r="G252" i="1" s="1"/>
  <c r="AF252" i="1" s="1"/>
  <c r="AR251" i="1"/>
  <c r="AQ251" i="1"/>
  <c r="AP251" i="1"/>
  <c r="AO251" i="1"/>
  <c r="AM251" i="1"/>
  <c r="AL251" i="1"/>
  <c r="AK251" i="1"/>
  <c r="AJ251" i="1"/>
  <c r="AF251" i="1"/>
  <c r="AB251" i="1"/>
  <c r="AA251" i="1"/>
  <c r="V251" i="1"/>
  <c r="U251" i="1" s="1"/>
  <c r="R251" i="1"/>
  <c r="Q251" i="1"/>
  <c r="F251" i="1"/>
  <c r="G251" i="1" s="1"/>
  <c r="AR250" i="1"/>
  <c r="AQ250" i="1"/>
  <c r="AP250" i="1"/>
  <c r="AO250" i="1"/>
  <c r="AM250" i="1"/>
  <c r="AL250" i="1"/>
  <c r="AK250" i="1"/>
  <c r="AJ250" i="1"/>
  <c r="AB250" i="1"/>
  <c r="V250" i="1"/>
  <c r="U250" i="1" s="1"/>
  <c r="F250" i="1"/>
  <c r="G250" i="1" s="1"/>
  <c r="AF250" i="1" s="1"/>
  <c r="AR248" i="1"/>
  <c r="AQ248" i="1"/>
  <c r="AP248" i="1"/>
  <c r="AO248" i="1"/>
  <c r="AM248" i="1"/>
  <c r="AL248" i="1"/>
  <c r="AK248" i="1"/>
  <c r="AJ248" i="1"/>
  <c r="AB248" i="1"/>
  <c r="AA248" i="1"/>
  <c r="V248" i="1"/>
  <c r="U248" i="1" s="1"/>
  <c r="R248" i="1"/>
  <c r="Q248" i="1"/>
  <c r="F248" i="1"/>
  <c r="G248" i="1" s="1"/>
  <c r="AF248" i="1" s="1"/>
  <c r="AR244" i="1"/>
  <c r="AQ244" i="1"/>
  <c r="AP244" i="1"/>
  <c r="AO244" i="1"/>
  <c r="AM244" i="1"/>
  <c r="AL244" i="1"/>
  <c r="AK244" i="1"/>
  <c r="AJ244" i="1"/>
  <c r="AF244" i="1"/>
  <c r="AB244" i="1"/>
  <c r="V244" i="1"/>
  <c r="AR243" i="1"/>
  <c r="AQ243" i="1"/>
  <c r="AP243" i="1"/>
  <c r="AO243" i="1"/>
  <c r="AM243" i="1"/>
  <c r="AL243" i="1"/>
  <c r="AK243" i="1"/>
  <c r="AJ243" i="1"/>
  <c r="AB243" i="1"/>
  <c r="AA243" i="1"/>
  <c r="V243" i="1"/>
  <c r="U243" i="1" s="1"/>
  <c r="R243" i="1"/>
  <c r="Q243" i="1"/>
  <c r="F243" i="1"/>
  <c r="G243" i="1" s="1"/>
  <c r="AF243" i="1" s="1"/>
  <c r="AR241" i="1"/>
  <c r="AQ241" i="1"/>
  <c r="AP241" i="1"/>
  <c r="AO241" i="1"/>
  <c r="AM241" i="1"/>
  <c r="AL241" i="1"/>
  <c r="AK241" i="1"/>
  <c r="AJ241" i="1"/>
  <c r="AB241" i="1"/>
  <c r="AA241" i="1"/>
  <c r="V241" i="1"/>
  <c r="U241" i="1" s="1"/>
  <c r="Q241" i="1"/>
  <c r="F241" i="1"/>
  <c r="G241" i="1" s="1"/>
  <c r="AF241" i="1" s="1"/>
  <c r="AR240" i="1"/>
  <c r="AQ240" i="1"/>
  <c r="AP240" i="1"/>
  <c r="AO240" i="1"/>
  <c r="AM240" i="1"/>
  <c r="AL240" i="1"/>
  <c r="AK240" i="1"/>
  <c r="AJ240" i="1"/>
  <c r="AB240" i="1"/>
  <c r="AA240" i="1"/>
  <c r="V240" i="1"/>
  <c r="U240" i="1" s="1"/>
  <c r="R240" i="1" s="1"/>
  <c r="F240" i="1"/>
  <c r="G240" i="1" s="1"/>
  <c r="AF240" i="1" s="1"/>
  <c r="AR239" i="1"/>
  <c r="AQ239" i="1"/>
  <c r="AP239" i="1"/>
  <c r="AO239" i="1"/>
  <c r="AM239" i="1"/>
  <c r="AL239" i="1"/>
  <c r="AK239" i="1"/>
  <c r="AJ239" i="1"/>
  <c r="AB239" i="1"/>
  <c r="AD239" i="1" s="1"/>
  <c r="AA239" i="1"/>
  <c r="V239" i="1"/>
  <c r="R239" i="1"/>
  <c r="Q239" i="1"/>
  <c r="F239" i="1"/>
  <c r="G239" i="1" s="1"/>
  <c r="AF239" i="1" s="1"/>
  <c r="AR236" i="1"/>
  <c r="AQ236" i="1"/>
  <c r="AP236" i="1"/>
  <c r="AO236" i="1"/>
  <c r="AM236" i="1"/>
  <c r="AL236" i="1"/>
  <c r="AK236" i="1"/>
  <c r="AJ236" i="1"/>
  <c r="AB236" i="1"/>
  <c r="V236" i="1"/>
  <c r="U236" i="1" s="1"/>
  <c r="Q236" i="1"/>
  <c r="AF236" i="1"/>
  <c r="AR235" i="1"/>
  <c r="AQ235" i="1"/>
  <c r="AP235" i="1"/>
  <c r="AO235" i="1"/>
  <c r="AM235" i="1"/>
  <c r="AL235" i="1"/>
  <c r="AK235" i="1"/>
  <c r="AJ235" i="1"/>
  <c r="AB235" i="1"/>
  <c r="AA235" i="1"/>
  <c r="V235" i="1"/>
  <c r="U235" i="1" s="1"/>
  <c r="R235" i="1" s="1"/>
  <c r="F235" i="1"/>
  <c r="G235" i="1" s="1"/>
  <c r="AF235" i="1" s="1"/>
  <c r="AR234" i="1"/>
  <c r="AQ234" i="1"/>
  <c r="AP234" i="1"/>
  <c r="AO234" i="1"/>
  <c r="AM234" i="1"/>
  <c r="AL234" i="1"/>
  <c r="AK234" i="1"/>
  <c r="AJ234" i="1"/>
  <c r="AB234" i="1"/>
  <c r="AA234" i="1"/>
  <c r="V234" i="1"/>
  <c r="U234" i="1" s="1"/>
  <c r="R234" i="1"/>
  <c r="Q234" i="1"/>
  <c r="F234" i="1"/>
  <c r="G234" i="1" s="1"/>
  <c r="AF234" i="1" s="1"/>
  <c r="AR233" i="1"/>
  <c r="AQ233" i="1"/>
  <c r="AP233" i="1"/>
  <c r="AO233" i="1"/>
  <c r="AM233" i="1"/>
  <c r="AL233" i="1"/>
  <c r="AK233" i="1"/>
  <c r="AJ233" i="1"/>
  <c r="AB233" i="1"/>
  <c r="AA233" i="1"/>
  <c r="V233" i="1"/>
  <c r="U233" i="1" s="1"/>
  <c r="Q233" i="1"/>
  <c r="AR232" i="1"/>
  <c r="AQ232" i="1"/>
  <c r="AP232" i="1"/>
  <c r="AO232" i="1"/>
  <c r="AM232" i="1"/>
  <c r="AL232" i="1"/>
  <c r="AK232" i="1"/>
  <c r="AJ232" i="1"/>
  <c r="AB232" i="1"/>
  <c r="V232" i="1"/>
  <c r="U232" i="1" s="1"/>
  <c r="Q232" i="1"/>
  <c r="F232" i="1"/>
  <c r="G232" i="1" s="1"/>
  <c r="AF232" i="1" s="1"/>
  <c r="AR231" i="1"/>
  <c r="AQ231" i="1"/>
  <c r="AP231" i="1"/>
  <c r="AO231" i="1"/>
  <c r="AM231" i="1"/>
  <c r="AL231" i="1"/>
  <c r="AK231" i="1"/>
  <c r="AJ231" i="1"/>
  <c r="AB231" i="1"/>
  <c r="AA231" i="1"/>
  <c r="V231" i="1"/>
  <c r="U231" i="1" s="1"/>
  <c r="R231" i="1"/>
  <c r="Q231" i="1"/>
  <c r="F231" i="1"/>
  <c r="G231" i="1" s="1"/>
  <c r="AF231" i="1" s="1"/>
  <c r="AR229" i="1"/>
  <c r="AQ229" i="1"/>
  <c r="AP229" i="1"/>
  <c r="AO229" i="1"/>
  <c r="AM229" i="1"/>
  <c r="AL229" i="1"/>
  <c r="AK229" i="1"/>
  <c r="AJ229" i="1"/>
  <c r="AB229" i="1"/>
  <c r="AA229" i="1"/>
  <c r="V229" i="1"/>
  <c r="U229" i="1" s="1"/>
  <c r="R229" i="1"/>
  <c r="Q229" i="1"/>
  <c r="F229" i="1"/>
  <c r="R316" i="1"/>
  <c r="R315" i="1"/>
  <c r="R312" i="1"/>
  <c r="R311" i="1"/>
  <c r="R310" i="1"/>
  <c r="R309" i="1"/>
  <c r="R304" i="1"/>
  <c r="R303" i="1"/>
  <c r="R302" i="1"/>
  <c r="Q316" i="1"/>
  <c r="Q315" i="1"/>
  <c r="Q312" i="1"/>
  <c r="Q311" i="1"/>
  <c r="Q310" i="1"/>
  <c r="Q309" i="1"/>
  <c r="Q304" i="1"/>
  <c r="Q303" i="1"/>
  <c r="Q302" i="1"/>
  <c r="Q301" i="1"/>
  <c r="Q297" i="1"/>
  <c r="Q296" i="1"/>
  <c r="Q292" i="1"/>
  <c r="Q290" i="1"/>
  <c r="Q287" i="1"/>
  <c r="Q286" i="1"/>
  <c r="Q284" i="1"/>
  <c r="Q281" i="1"/>
  <c r="Q280" i="1"/>
  <c r="Q279" i="1"/>
  <c r="Q278" i="1"/>
  <c r="Q277" i="1"/>
  <c r="B317" i="1"/>
  <c r="B224" i="1"/>
  <c r="B184" i="1"/>
  <c r="B142" i="1"/>
  <c r="B108" i="1"/>
  <c r="B73" i="1"/>
  <c r="B34" i="1"/>
  <c r="P317" i="1"/>
  <c r="AR316" i="1"/>
  <c r="AQ316" i="1"/>
  <c r="AP316" i="1"/>
  <c r="AO316" i="1"/>
  <c r="AM316" i="1"/>
  <c r="AL316" i="1"/>
  <c r="AK316" i="1"/>
  <c r="AJ316" i="1"/>
  <c r="AF316" i="1"/>
  <c r="AB316" i="1"/>
  <c r="AA316" i="1"/>
  <c r="V316" i="1"/>
  <c r="U316" i="1" s="1"/>
  <c r="AR315" i="1"/>
  <c r="AQ315" i="1"/>
  <c r="AP315" i="1"/>
  <c r="AO315" i="1"/>
  <c r="AM315" i="1"/>
  <c r="AL315" i="1"/>
  <c r="AK315" i="1"/>
  <c r="AJ315" i="1"/>
  <c r="AF315" i="1"/>
  <c r="AB315" i="1"/>
  <c r="AA315" i="1"/>
  <c r="V315" i="1"/>
  <c r="U315" i="1" s="1"/>
  <c r="F315" i="1"/>
  <c r="G315" i="1" s="1"/>
  <c r="AR314" i="1"/>
  <c r="AQ314" i="1"/>
  <c r="AP314" i="1"/>
  <c r="AO314" i="1"/>
  <c r="AM314" i="1"/>
  <c r="AL314" i="1"/>
  <c r="AK314" i="1"/>
  <c r="AJ314" i="1"/>
  <c r="AB314" i="1"/>
  <c r="AA314" i="1"/>
  <c r="V314" i="1"/>
  <c r="U314" i="1" s="1"/>
  <c r="R314" i="1" s="1"/>
  <c r="F314" i="1"/>
  <c r="G314" i="1" s="1"/>
  <c r="AF314" i="1" s="1"/>
  <c r="AQ313" i="1"/>
  <c r="AP313" i="1"/>
  <c r="AO313" i="1"/>
  <c r="AL313" i="1"/>
  <c r="AK313" i="1"/>
  <c r="AJ313" i="1"/>
  <c r="AB313" i="1"/>
  <c r="V313" i="1"/>
  <c r="U313" i="1" s="1"/>
  <c r="AM313" i="1" s="1"/>
  <c r="AF313" i="1"/>
  <c r="AR312" i="1"/>
  <c r="AQ312" i="1"/>
  <c r="AP312" i="1"/>
  <c r="AO312" i="1"/>
  <c r="AM312" i="1"/>
  <c r="AL312" i="1"/>
  <c r="AK312" i="1"/>
  <c r="AJ312" i="1"/>
  <c r="AB312" i="1"/>
  <c r="AA312" i="1"/>
  <c r="V312" i="1"/>
  <c r="U312" i="1" s="1"/>
  <c r="F312" i="1"/>
  <c r="G312" i="1" s="1"/>
  <c r="AF312" i="1" s="1"/>
  <c r="AQ311" i="1"/>
  <c r="AP311" i="1"/>
  <c r="AO311" i="1"/>
  <c r="AL311" i="1"/>
  <c r="AK311" i="1"/>
  <c r="AJ311" i="1"/>
  <c r="AB311" i="1"/>
  <c r="V311" i="1"/>
  <c r="U311" i="1" s="1"/>
  <c r="F311" i="1"/>
  <c r="G311" i="1" s="1"/>
  <c r="AF311" i="1" s="1"/>
  <c r="AR310" i="1"/>
  <c r="AQ310" i="1"/>
  <c r="AP310" i="1"/>
  <c r="AO310" i="1"/>
  <c r="AM310" i="1"/>
  <c r="AL310" i="1"/>
  <c r="AK310" i="1"/>
  <c r="AJ310" i="1"/>
  <c r="AB310" i="1"/>
  <c r="V310" i="1"/>
  <c r="U310" i="1" s="1"/>
  <c r="AF310" i="1"/>
  <c r="AR309" i="1"/>
  <c r="AQ309" i="1"/>
  <c r="AP309" i="1"/>
  <c r="AO309" i="1"/>
  <c r="AM309" i="1"/>
  <c r="AL309" i="1"/>
  <c r="AK309" i="1"/>
  <c r="AJ309" i="1"/>
  <c r="AB309" i="1"/>
  <c r="AA309" i="1"/>
  <c r="V309" i="1"/>
  <c r="U309" i="1" s="1"/>
  <c r="AF309" i="1"/>
  <c r="AR308" i="1"/>
  <c r="AQ308" i="1"/>
  <c r="AP308" i="1"/>
  <c r="AO308" i="1"/>
  <c r="AM308" i="1"/>
  <c r="AL308" i="1"/>
  <c r="AK308" i="1"/>
  <c r="AJ308" i="1"/>
  <c r="AB308" i="1"/>
  <c r="V308" i="1"/>
  <c r="U308" i="1" s="1"/>
  <c r="R308" i="1" s="1"/>
  <c r="F308" i="1"/>
  <c r="G308" i="1" s="1"/>
  <c r="AF308" i="1" s="1"/>
  <c r="AR307" i="1"/>
  <c r="AQ307" i="1"/>
  <c r="AP307" i="1"/>
  <c r="AO307" i="1"/>
  <c r="AM307" i="1"/>
  <c r="AL307" i="1"/>
  <c r="AK307" i="1"/>
  <c r="AJ307" i="1"/>
  <c r="AB307" i="1"/>
  <c r="V307" i="1"/>
  <c r="U307" i="1" s="1"/>
  <c r="R307" i="1" s="1"/>
  <c r="AF307" i="1"/>
  <c r="AR305" i="1"/>
  <c r="AQ305" i="1"/>
  <c r="AP305" i="1"/>
  <c r="AO305" i="1"/>
  <c r="AM305" i="1"/>
  <c r="AL305" i="1"/>
  <c r="AK305" i="1"/>
  <c r="AJ305" i="1"/>
  <c r="AB305" i="1"/>
  <c r="AA305" i="1"/>
  <c r="V305" i="1"/>
  <c r="U305" i="1" s="1"/>
  <c r="F305" i="1"/>
  <c r="G305" i="1" s="1"/>
  <c r="AF305" i="1" s="1"/>
  <c r="AR304" i="1"/>
  <c r="AQ304" i="1"/>
  <c r="AP304" i="1"/>
  <c r="AO304" i="1"/>
  <c r="AM304" i="1"/>
  <c r="AL304" i="1"/>
  <c r="AK304" i="1"/>
  <c r="AJ304" i="1"/>
  <c r="AB304" i="1"/>
  <c r="V304" i="1"/>
  <c r="U304" i="1" s="1"/>
  <c r="AF304" i="1"/>
  <c r="AR303" i="1"/>
  <c r="AQ303" i="1"/>
  <c r="AP303" i="1"/>
  <c r="AO303" i="1"/>
  <c r="AM303" i="1"/>
  <c r="AL303" i="1"/>
  <c r="AK303" i="1"/>
  <c r="AJ303" i="1"/>
  <c r="AB303" i="1"/>
  <c r="AA303" i="1"/>
  <c r="V303" i="1"/>
  <c r="U303" i="1" s="1"/>
  <c r="F303" i="1"/>
  <c r="G303" i="1" s="1"/>
  <c r="AF303" i="1" s="1"/>
  <c r="AR302" i="1"/>
  <c r="AQ302" i="1"/>
  <c r="AP302" i="1"/>
  <c r="AO302" i="1"/>
  <c r="AM302" i="1"/>
  <c r="AL302" i="1"/>
  <c r="AK302" i="1"/>
  <c r="AJ302" i="1"/>
  <c r="AB302" i="1"/>
  <c r="V302" i="1"/>
  <c r="U302" i="1" s="1"/>
  <c r="F302" i="1"/>
  <c r="G302" i="1" s="1"/>
  <c r="AF302" i="1" s="1"/>
  <c r="AR301" i="1"/>
  <c r="AQ301" i="1"/>
  <c r="AP301" i="1"/>
  <c r="AO301" i="1"/>
  <c r="AM301" i="1"/>
  <c r="AL301" i="1"/>
  <c r="AK301" i="1"/>
  <c r="AJ301" i="1"/>
  <c r="AB301" i="1"/>
  <c r="AA301" i="1"/>
  <c r="V301" i="1"/>
  <c r="U301" i="1" s="1"/>
  <c r="R301" i="1"/>
  <c r="F301" i="1"/>
  <c r="G301" i="1" s="1"/>
  <c r="AF301" i="1" s="1"/>
  <c r="AR300" i="1"/>
  <c r="AQ300" i="1"/>
  <c r="AP300" i="1"/>
  <c r="AO300" i="1"/>
  <c r="AM300" i="1"/>
  <c r="AL300" i="1"/>
  <c r="AK300" i="1"/>
  <c r="AJ300" i="1"/>
  <c r="AB300" i="1"/>
  <c r="V300" i="1"/>
  <c r="U300" i="1" s="1"/>
  <c r="F300" i="1"/>
  <c r="G300" i="1" s="1"/>
  <c r="AF300" i="1" s="1"/>
  <c r="AR299" i="1"/>
  <c r="AQ299" i="1"/>
  <c r="AP299" i="1"/>
  <c r="AO299" i="1"/>
  <c r="AM299" i="1"/>
  <c r="AL299" i="1"/>
  <c r="AK299" i="1"/>
  <c r="AJ299" i="1"/>
  <c r="AB299" i="1"/>
  <c r="V299" i="1"/>
  <c r="U299" i="1" s="1"/>
  <c r="F299" i="1"/>
  <c r="G299" i="1" s="1"/>
  <c r="AF299" i="1" s="1"/>
  <c r="AR298" i="1"/>
  <c r="AQ298" i="1"/>
  <c r="AP298" i="1"/>
  <c r="AO298" i="1"/>
  <c r="AM298" i="1"/>
  <c r="AL298" i="1"/>
  <c r="AK298" i="1"/>
  <c r="AJ298" i="1"/>
  <c r="AB298" i="1"/>
  <c r="V298" i="1"/>
  <c r="U298" i="1" s="1"/>
  <c r="R298" i="1" s="1"/>
  <c r="F298" i="1"/>
  <c r="G298" i="1" s="1"/>
  <c r="AF298" i="1" s="1"/>
  <c r="AR297" i="1"/>
  <c r="AQ297" i="1"/>
  <c r="AP297" i="1"/>
  <c r="AO297" i="1"/>
  <c r="AM297" i="1"/>
  <c r="AL297" i="1"/>
  <c r="AK297" i="1"/>
  <c r="AJ297" i="1"/>
  <c r="AB297" i="1"/>
  <c r="AA297" i="1"/>
  <c r="V297" i="1"/>
  <c r="U297" i="1" s="1"/>
  <c r="R297" i="1"/>
  <c r="F297" i="1"/>
  <c r="G297" i="1" s="1"/>
  <c r="AF297" i="1" s="1"/>
  <c r="AR296" i="1"/>
  <c r="AQ296" i="1"/>
  <c r="AP296" i="1"/>
  <c r="AO296" i="1"/>
  <c r="AM296" i="1"/>
  <c r="AL296" i="1"/>
  <c r="AK296" i="1"/>
  <c r="AJ296" i="1"/>
  <c r="AB296" i="1"/>
  <c r="AA296" i="1"/>
  <c r="V296" i="1"/>
  <c r="U296" i="1" s="1"/>
  <c r="F296" i="1"/>
  <c r="G296" i="1" s="1"/>
  <c r="AF296" i="1" s="1"/>
  <c r="AR292" i="1"/>
  <c r="AQ292" i="1"/>
  <c r="AO292" i="1"/>
  <c r="AM292" i="1"/>
  <c r="AL292" i="1"/>
  <c r="AJ292" i="1"/>
  <c r="AB292" i="1"/>
  <c r="AA292" i="1"/>
  <c r="V292" i="1"/>
  <c r="U292" i="1" s="1"/>
  <c r="F292" i="1"/>
  <c r="G292" i="1" s="1"/>
  <c r="AF292" i="1" s="1"/>
  <c r="AR291" i="1"/>
  <c r="AQ291" i="1"/>
  <c r="AP291" i="1"/>
  <c r="AO291" i="1"/>
  <c r="AM291" i="1"/>
  <c r="AL291" i="1"/>
  <c r="AK291" i="1"/>
  <c r="AJ291" i="1"/>
  <c r="AB291" i="1"/>
  <c r="AA291" i="1"/>
  <c r="V291" i="1"/>
  <c r="U291" i="1" s="1"/>
  <c r="R291" i="1" s="1"/>
  <c r="Y291" i="1" s="1"/>
  <c r="F291" i="1"/>
  <c r="G291" i="1" s="1"/>
  <c r="AF291" i="1" s="1"/>
  <c r="AR290" i="1"/>
  <c r="AQ290" i="1"/>
  <c r="AP290" i="1"/>
  <c r="AO290" i="1"/>
  <c r="AM290" i="1"/>
  <c r="AL290" i="1"/>
  <c r="AK290" i="1"/>
  <c r="AJ290" i="1"/>
  <c r="AB290" i="1"/>
  <c r="AA290" i="1"/>
  <c r="V290" i="1"/>
  <c r="U290" i="1" s="1"/>
  <c r="F290" i="1"/>
  <c r="G290" i="1" s="1"/>
  <c r="AF290" i="1" s="1"/>
  <c r="AR287" i="1"/>
  <c r="AQ287" i="1"/>
  <c r="AO287" i="1"/>
  <c r="AM287" i="1"/>
  <c r="AL287" i="1"/>
  <c r="AJ287" i="1"/>
  <c r="AB287" i="1"/>
  <c r="AA287" i="1"/>
  <c r="V287" i="1"/>
  <c r="U287" i="1" s="1"/>
  <c r="F287" i="1"/>
  <c r="G287" i="1" s="1"/>
  <c r="AF287" i="1" s="1"/>
  <c r="AR286" i="1"/>
  <c r="AQ286" i="1"/>
  <c r="AP286" i="1"/>
  <c r="AO286" i="1"/>
  <c r="AM286" i="1"/>
  <c r="AL286" i="1"/>
  <c r="AK286" i="1"/>
  <c r="AJ286" i="1"/>
  <c r="AB286" i="1"/>
  <c r="AA286" i="1"/>
  <c r="V286" i="1"/>
  <c r="U286" i="1" s="1"/>
  <c r="F286" i="1"/>
  <c r="G286" i="1" s="1"/>
  <c r="AF286" i="1" s="1"/>
  <c r="AR284" i="1"/>
  <c r="AQ284" i="1"/>
  <c r="AP284" i="1"/>
  <c r="AM284" i="1"/>
  <c r="AL284" i="1"/>
  <c r="AK284" i="1"/>
  <c r="AB284" i="1"/>
  <c r="AA284" i="1"/>
  <c r="V284" i="1"/>
  <c r="U284" i="1" s="1"/>
  <c r="F284" i="1"/>
  <c r="G284" i="1" s="1"/>
  <c r="AF284" i="1" s="1"/>
  <c r="AR281" i="1"/>
  <c r="AQ281" i="1"/>
  <c r="AP281" i="1"/>
  <c r="AM281" i="1"/>
  <c r="AL281" i="1"/>
  <c r="AK281" i="1"/>
  <c r="AB281" i="1"/>
  <c r="AA281" i="1"/>
  <c r="V281" i="1"/>
  <c r="F281" i="1"/>
  <c r="G281" i="1" s="1"/>
  <c r="AF281" i="1" s="1"/>
  <c r="AR280" i="1"/>
  <c r="AQ280" i="1"/>
  <c r="AP280" i="1"/>
  <c r="AM280" i="1"/>
  <c r="AL280" i="1"/>
  <c r="AK280" i="1"/>
  <c r="AB280" i="1"/>
  <c r="AA280" i="1"/>
  <c r="V280" i="1"/>
  <c r="U280" i="1" s="1"/>
  <c r="F280" i="1"/>
  <c r="G280" i="1" s="1"/>
  <c r="AF280" i="1" s="1"/>
  <c r="AR279" i="1"/>
  <c r="AQ279" i="1"/>
  <c r="AP279" i="1"/>
  <c r="AM279" i="1"/>
  <c r="AL279" i="1"/>
  <c r="AK279" i="1"/>
  <c r="AB279" i="1"/>
  <c r="V279" i="1"/>
  <c r="AR278" i="1"/>
  <c r="AQ278" i="1"/>
  <c r="AP278" i="1"/>
  <c r="AM278" i="1"/>
  <c r="AL278" i="1"/>
  <c r="AK278" i="1"/>
  <c r="AB278" i="1"/>
  <c r="AA278" i="1"/>
  <c r="V278" i="1"/>
  <c r="U278" i="1" s="1"/>
  <c r="R278" i="1"/>
  <c r="F278" i="1"/>
  <c r="G278" i="1" s="1"/>
  <c r="AF278" i="1" s="1"/>
  <c r="AR277" i="1"/>
  <c r="AQ277" i="1"/>
  <c r="AP277" i="1"/>
  <c r="AM277" i="1"/>
  <c r="AL277" i="1"/>
  <c r="AK277" i="1"/>
  <c r="AF277" i="1"/>
  <c r="AB277" i="1"/>
  <c r="AA277" i="1"/>
  <c r="V277" i="1"/>
  <c r="U277" i="1" s="1"/>
  <c r="R277" i="1"/>
  <c r="F277" i="1"/>
  <c r="G277" i="1" s="1"/>
  <c r="AR276" i="1"/>
  <c r="AQ276" i="1"/>
  <c r="AP276" i="1"/>
  <c r="AM276" i="1"/>
  <c r="AL276" i="1"/>
  <c r="AK276" i="1"/>
  <c r="AB276" i="1"/>
  <c r="AA276" i="1"/>
  <c r="V276" i="1"/>
  <c r="U276" i="1" s="1"/>
  <c r="R276" i="1" s="1"/>
  <c r="F276" i="1"/>
  <c r="G276" i="1" s="1"/>
  <c r="AF276" i="1" s="1"/>
  <c r="AR275" i="1"/>
  <c r="AQ275" i="1"/>
  <c r="AP275" i="1"/>
  <c r="AM275" i="1"/>
  <c r="AL275" i="1"/>
  <c r="AK275" i="1"/>
  <c r="AB275" i="1"/>
  <c r="AA275" i="1"/>
  <c r="V275" i="1"/>
  <c r="U275" i="1" s="1"/>
  <c r="R275" i="1"/>
  <c r="Q275" i="1"/>
  <c r="F275" i="1"/>
  <c r="G275" i="1" s="1"/>
  <c r="AF275" i="1" s="1"/>
  <c r="P273" i="1"/>
  <c r="AR272" i="1"/>
  <c r="AQ272" i="1"/>
  <c r="AP272" i="1"/>
  <c r="AO272" i="1"/>
  <c r="AM272" i="1"/>
  <c r="AL272" i="1"/>
  <c r="AK272" i="1"/>
  <c r="AJ272" i="1"/>
  <c r="AF272" i="1"/>
  <c r="AB272" i="1"/>
  <c r="AA272" i="1"/>
  <c r="V272" i="1"/>
  <c r="U272" i="1" s="1"/>
  <c r="R272" i="1"/>
  <c r="Q272" i="1"/>
  <c r="F272" i="1"/>
  <c r="G272" i="1" s="1"/>
  <c r="N10" i="1"/>
  <c r="R286" i="1" l="1"/>
  <c r="Y286" i="1" s="1"/>
  <c r="R267" i="1"/>
  <c r="Y267" i="1" s="1"/>
  <c r="R241" i="1"/>
  <c r="Y241" i="1" s="1"/>
  <c r="R313" i="1"/>
  <c r="Y313" i="1" s="1"/>
  <c r="R254" i="1"/>
  <c r="Y254" i="1" s="1"/>
  <c r="R244" i="1"/>
  <c r="AA244" i="1" s="1"/>
  <c r="U244" i="1"/>
  <c r="AD244" i="1" s="1"/>
  <c r="AH244" i="1" s="1"/>
  <c r="AG244" i="1" s="1"/>
  <c r="R250" i="1"/>
  <c r="R290" i="1"/>
  <c r="Y290" i="1" s="1"/>
  <c r="R259" i="1"/>
  <c r="AA259" i="1" s="1"/>
  <c r="Y277" i="1"/>
  <c r="R253" i="1"/>
  <c r="AA253" i="1" s="1"/>
  <c r="Y235" i="1"/>
  <c r="AO279" i="1"/>
  <c r="U279" i="1"/>
  <c r="AD279" i="1" s="1"/>
  <c r="AD286" i="1"/>
  <c r="AH286" i="1" s="1"/>
  <c r="AG286" i="1" s="1"/>
  <c r="AJ281" i="1"/>
  <c r="U281" i="1"/>
  <c r="AD281" i="1" s="1"/>
  <c r="AH281" i="1" s="1"/>
  <c r="AG281" i="1" s="1"/>
  <c r="R263" i="1"/>
  <c r="Y276" i="1"/>
  <c r="Y301" i="1"/>
  <c r="Y209" i="1"/>
  <c r="AA209" i="1"/>
  <c r="Y278" i="1"/>
  <c r="Y310" i="1"/>
  <c r="AD229" i="1"/>
  <c r="Y258" i="1"/>
  <c r="Y302" i="1"/>
  <c r="Y311" i="1"/>
  <c r="AD263" i="1"/>
  <c r="AH263" i="1" s="1"/>
  <c r="AG263" i="1" s="1"/>
  <c r="AD271" i="1"/>
  <c r="AH271" i="1" s="1"/>
  <c r="AG271" i="1" s="1"/>
  <c r="AD251" i="1"/>
  <c r="AH251" i="1" s="1"/>
  <c r="AG251" i="1" s="1"/>
  <c r="Y262" i="1"/>
  <c r="AD252" i="1"/>
  <c r="AH252" i="1" s="1"/>
  <c r="AG252" i="1" s="1"/>
  <c r="R255" i="1"/>
  <c r="AA255" i="1" s="1"/>
  <c r="Y252" i="1"/>
  <c r="Y234" i="1"/>
  <c r="AD235" i="1"/>
  <c r="AH235" i="1" s="1"/>
  <c r="AG235" i="1" s="1"/>
  <c r="AD296" i="1"/>
  <c r="AH296" i="1" s="1"/>
  <c r="AG296" i="1" s="1"/>
  <c r="AD234" i="1"/>
  <c r="AH234" i="1" s="1"/>
  <c r="AG234" i="1" s="1"/>
  <c r="Y240" i="1"/>
  <c r="AD259" i="1"/>
  <c r="AH259" i="1" s="1"/>
  <c r="AG259" i="1" s="1"/>
  <c r="Y305" i="1"/>
  <c r="Y314" i="1"/>
  <c r="Y307" i="1"/>
  <c r="Y315" i="1"/>
  <c r="Y231" i="1"/>
  <c r="Y251" i="1"/>
  <c r="AD290" i="1"/>
  <c r="AH290" i="1" s="1"/>
  <c r="AG290" i="1" s="1"/>
  <c r="AD206" i="1"/>
  <c r="AH206" i="1" s="1"/>
  <c r="AG206" i="1" s="1"/>
  <c r="Y272" i="1"/>
  <c r="Y297" i="1"/>
  <c r="AD250" i="1"/>
  <c r="AH250" i="1" s="1"/>
  <c r="AG250" i="1" s="1"/>
  <c r="Y260" i="1"/>
  <c r="Y268" i="1"/>
  <c r="Y303" i="1"/>
  <c r="Y308" i="1"/>
  <c r="Y312" i="1"/>
  <c r="Y316" i="1"/>
  <c r="AD240" i="1"/>
  <c r="AH240" i="1" s="1"/>
  <c r="AG240" i="1" s="1"/>
  <c r="AD241" i="1"/>
  <c r="AH241" i="1" s="1"/>
  <c r="AG241" i="1" s="1"/>
  <c r="AD268" i="1"/>
  <c r="AH268" i="1" s="1"/>
  <c r="AG268" i="1" s="1"/>
  <c r="Y304" i="1"/>
  <c r="Y309" i="1"/>
  <c r="Y229" i="1"/>
  <c r="Y248" i="1"/>
  <c r="Y256" i="1"/>
  <c r="Y257" i="1"/>
  <c r="AD260" i="1"/>
  <c r="AH260" i="1" s="1"/>
  <c r="AG260" i="1" s="1"/>
  <c r="R230" i="1"/>
  <c r="Y230" i="1" s="1"/>
  <c r="AD230" i="1"/>
  <c r="AH230" i="1" s="1"/>
  <c r="AG230" i="1" s="1"/>
  <c r="AD304" i="1"/>
  <c r="AH304" i="1" s="1"/>
  <c r="AG304" i="1" s="1"/>
  <c r="AD256" i="1"/>
  <c r="AH256" i="1" s="1"/>
  <c r="AG256" i="1" s="1"/>
  <c r="Y261" i="1"/>
  <c r="AD312" i="1"/>
  <c r="AH312" i="1" s="1"/>
  <c r="AG312" i="1" s="1"/>
  <c r="R236" i="1"/>
  <c r="Y243" i="1"/>
  <c r="AD255" i="1"/>
  <c r="AH255" i="1" s="1"/>
  <c r="AG255" i="1" s="1"/>
  <c r="AD257" i="1"/>
  <c r="AH257" i="1" s="1"/>
  <c r="AG257" i="1" s="1"/>
  <c r="AD261" i="1"/>
  <c r="AH261" i="1" s="1"/>
  <c r="AG261" i="1" s="1"/>
  <c r="AD262" i="1"/>
  <c r="AH262" i="1" s="1"/>
  <c r="AG262" i="1" s="1"/>
  <c r="Y271" i="1"/>
  <c r="Y239" i="1"/>
  <c r="AD243" i="1"/>
  <c r="AH243" i="1" s="1"/>
  <c r="AG243" i="1" s="1"/>
  <c r="AD248" i="1"/>
  <c r="AH248" i="1" s="1"/>
  <c r="AG248" i="1" s="1"/>
  <c r="AD253" i="1"/>
  <c r="AH253" i="1" s="1"/>
  <c r="AG253" i="1" s="1"/>
  <c r="AD254" i="1"/>
  <c r="AH254" i="1" s="1"/>
  <c r="AG254" i="1" s="1"/>
  <c r="AD258" i="1"/>
  <c r="AH258" i="1" s="1"/>
  <c r="AG258" i="1" s="1"/>
  <c r="AD267" i="1"/>
  <c r="AH267" i="1" s="1"/>
  <c r="AG267" i="1" s="1"/>
  <c r="AH239" i="1"/>
  <c r="AG239" i="1" s="1"/>
  <c r="AD236" i="1"/>
  <c r="AH236" i="1" s="1"/>
  <c r="AG236" i="1" s="1"/>
  <c r="Y233" i="1"/>
  <c r="AD233" i="1"/>
  <c r="R232" i="1"/>
  <c r="AQ273" i="1"/>
  <c r="AQ274" i="1" s="1"/>
  <c r="AD232" i="1"/>
  <c r="AH232" i="1" s="1"/>
  <c r="AG232" i="1" s="1"/>
  <c r="AD231" i="1"/>
  <c r="AH231" i="1" s="1"/>
  <c r="AG231" i="1" s="1"/>
  <c r="G229" i="1"/>
  <c r="AF229" i="1" s="1"/>
  <c r="AL317" i="1"/>
  <c r="AL318" i="1" s="1"/>
  <c r="AD291" i="1"/>
  <c r="AH291" i="1" s="1"/>
  <c r="AG291" i="1" s="1"/>
  <c r="AD308" i="1"/>
  <c r="AH308" i="1" s="1"/>
  <c r="AG308" i="1" s="1"/>
  <c r="AD303" i="1"/>
  <c r="AH303" i="1" s="1"/>
  <c r="AG303" i="1" s="1"/>
  <c r="AD307" i="1"/>
  <c r="AH307" i="1" s="1"/>
  <c r="AG307" i="1" s="1"/>
  <c r="AD314" i="1"/>
  <c r="AH314" i="1" s="1"/>
  <c r="AG314" i="1" s="1"/>
  <c r="AD315" i="1"/>
  <c r="AH315" i="1" s="1"/>
  <c r="AG315" i="1" s="1"/>
  <c r="AD299" i="1"/>
  <c r="AH299" i="1" s="1"/>
  <c r="AG299" i="1" s="1"/>
  <c r="AD310" i="1"/>
  <c r="AH310" i="1" s="1"/>
  <c r="AG310" i="1" s="1"/>
  <c r="AD316" i="1"/>
  <c r="AH316" i="1" s="1"/>
  <c r="AG316" i="1" s="1"/>
  <c r="AJ276" i="1"/>
  <c r="AD276" i="1"/>
  <c r="AH276" i="1" s="1"/>
  <c r="AG276" i="1" s="1"/>
  <c r="AO276" i="1"/>
  <c r="AJ278" i="1"/>
  <c r="AO278" i="1"/>
  <c r="AD278" i="1"/>
  <c r="AH278" i="1" s="1"/>
  <c r="AG278" i="1" s="1"/>
  <c r="AD298" i="1"/>
  <c r="AH298" i="1" s="1"/>
  <c r="AG298" i="1" s="1"/>
  <c r="AA304" i="1"/>
  <c r="R292" i="1"/>
  <c r="Y292" i="1" s="1"/>
  <c r="AA313" i="1"/>
  <c r="AB317" i="1"/>
  <c r="AC317" i="1" s="1"/>
  <c r="AB273" i="1"/>
  <c r="AC273" i="1" s="1"/>
  <c r="AD272" i="1"/>
  <c r="AH272" i="1" s="1"/>
  <c r="AG272" i="1" s="1"/>
  <c r="Y275" i="1"/>
  <c r="AQ317" i="1"/>
  <c r="AQ318" i="1" s="1"/>
  <c r="AD297" i="1"/>
  <c r="AH297" i="1" s="1"/>
  <c r="AG297" i="1" s="1"/>
  <c r="AD313" i="1"/>
  <c r="AH313" i="1" s="1"/>
  <c r="AG313" i="1" s="1"/>
  <c r="AL273" i="1"/>
  <c r="AL274" i="1" s="1"/>
  <c r="AL634" i="1" s="1"/>
  <c r="AO281" i="1"/>
  <c r="AD301" i="1"/>
  <c r="AH301" i="1" s="1"/>
  <c r="AG301" i="1" s="1"/>
  <c r="AD309" i="1"/>
  <c r="AH309" i="1" s="1"/>
  <c r="AG309" i="1" s="1"/>
  <c r="AD305" i="1"/>
  <c r="AH305" i="1" s="1"/>
  <c r="AG305" i="1" s="1"/>
  <c r="AD300" i="1"/>
  <c r="AH300" i="1" s="1"/>
  <c r="AG300" i="1" s="1"/>
  <c r="R281" i="1"/>
  <c r="Y281" i="1" s="1"/>
  <c r="AJ280" i="1"/>
  <c r="AO280" i="1"/>
  <c r="AD280" i="1"/>
  <c r="AH280" i="1" s="1"/>
  <c r="AG280" i="1" s="1"/>
  <c r="AJ275" i="1"/>
  <c r="AO275" i="1"/>
  <c r="AD275" i="1"/>
  <c r="AP287" i="1"/>
  <c r="AK287" i="1"/>
  <c r="R287" i="1"/>
  <c r="Y287" i="1" s="1"/>
  <c r="AD287" i="1"/>
  <c r="AH287" i="1" s="1"/>
  <c r="AG287" i="1" s="1"/>
  <c r="AA307" i="1"/>
  <c r="R280" i="1"/>
  <c r="Y280" i="1" s="1"/>
  <c r="R296" i="1"/>
  <c r="Y296" i="1" s="1"/>
  <c r="Y300" i="1"/>
  <c r="AD311" i="1"/>
  <c r="AH311" i="1" s="1"/>
  <c r="AG311" i="1" s="1"/>
  <c r="AR311" i="1"/>
  <c r="AM311" i="1"/>
  <c r="AM317" i="1" s="1"/>
  <c r="AM318" i="1" s="1"/>
  <c r="AO277" i="1"/>
  <c r="AD277" i="1"/>
  <c r="AH277" i="1" s="1"/>
  <c r="AG277" i="1" s="1"/>
  <c r="AJ277" i="1"/>
  <c r="R284" i="1"/>
  <c r="Y284" i="1" s="1"/>
  <c r="AO284" i="1"/>
  <c r="AD284" i="1"/>
  <c r="AH284" i="1" s="1"/>
  <c r="AG284" i="1" s="1"/>
  <c r="AJ284" i="1"/>
  <c r="AK292" i="1"/>
  <c r="AD292" i="1"/>
  <c r="AH292" i="1" s="1"/>
  <c r="AG292" i="1" s="1"/>
  <c r="AP292" i="1"/>
  <c r="AD302" i="1"/>
  <c r="AH302" i="1" s="1"/>
  <c r="AG302" i="1" s="1"/>
  <c r="Y299" i="1"/>
  <c r="AJ279" i="1"/>
  <c r="AR313" i="1"/>
  <c r="AP273" i="1"/>
  <c r="AP274" i="1" s="1"/>
  <c r="AM273" i="1"/>
  <c r="AM274" i="1" s="1"/>
  <c r="AM634" i="1" s="1"/>
  <c r="AR273" i="1"/>
  <c r="AR274" i="1" s="1"/>
  <c r="AK273" i="1"/>
  <c r="AK274" i="1" s="1"/>
  <c r="AK634" i="1" s="1"/>
  <c r="Y244" i="1" l="1"/>
  <c r="Y263" i="1"/>
  <c r="AA263" i="1"/>
  <c r="Y250" i="1"/>
  <c r="AA250" i="1"/>
  <c r="R279" i="1"/>
  <c r="Y253" i="1"/>
  <c r="Y259" i="1"/>
  <c r="Y255" i="1"/>
  <c r="AH229" i="1"/>
  <c r="AG229" i="1" s="1"/>
  <c r="Y236" i="1"/>
  <c r="AA236" i="1"/>
  <c r="AA298" i="1"/>
  <c r="Y298" i="1"/>
  <c r="Y232" i="1"/>
  <c r="AA232" i="1"/>
  <c r="AR317" i="1"/>
  <c r="AR318" i="1" s="1"/>
  <c r="AK317" i="1"/>
  <c r="AK318" i="1" s="1"/>
  <c r="AH275" i="1"/>
  <c r="AG275" i="1" s="1"/>
  <c r="AJ317" i="1"/>
  <c r="AJ273" i="1"/>
  <c r="AJ274" i="1" s="1"/>
  <c r="AN274" i="1" s="1"/>
  <c r="AP317" i="1"/>
  <c r="AP318" i="1" s="1"/>
  <c r="AA300" i="1"/>
  <c r="AA311" i="1"/>
  <c r="AA299" i="1"/>
  <c r="AA302" i="1"/>
  <c r="AA308" i="1"/>
  <c r="AO317" i="1"/>
  <c r="AO318" i="1" s="1"/>
  <c r="AA310" i="1"/>
  <c r="AO273" i="1"/>
  <c r="AJ318" i="1" l="1"/>
  <c r="AN318" i="1" s="1"/>
  <c r="AJ634" i="1"/>
  <c r="AS318" i="1"/>
  <c r="Y279" i="1"/>
  <c r="AA279" i="1"/>
  <c r="AA317" i="1" s="1"/>
  <c r="Z317" i="1" s="1"/>
  <c r="AN273" i="1"/>
  <c r="AN317" i="1"/>
  <c r="AS273" i="1"/>
  <c r="AO274" i="1"/>
  <c r="AS274" i="1" s="1"/>
  <c r="AS317" i="1"/>
  <c r="AA273" i="1"/>
  <c r="R273" i="1" s="1"/>
  <c r="R11" i="1"/>
  <c r="R10" i="1"/>
  <c r="M11" i="1" l="1"/>
  <c r="W11" i="1" s="1"/>
  <c r="R317" i="1"/>
  <c r="Z273" i="1"/>
  <c r="R658" i="1" l="1"/>
  <c r="R650" i="1"/>
  <c r="R197" i="1"/>
  <c r="R222" i="1"/>
  <c r="R223" i="1"/>
  <c r="AR197" i="1" l="1"/>
  <c r="AQ197" i="1"/>
  <c r="AO197" i="1"/>
  <c r="AM197" i="1"/>
  <c r="AL197" i="1"/>
  <c r="AJ197" i="1"/>
  <c r="AB197" i="1"/>
  <c r="V197" i="1"/>
  <c r="U197" i="1" s="1"/>
  <c r="Q197" i="1"/>
  <c r="F197" i="1"/>
  <c r="G197" i="1" s="1"/>
  <c r="AF197" i="1" s="1"/>
  <c r="AD197" i="1" l="1"/>
  <c r="AH197" i="1" s="1"/>
  <c r="AG197" i="1" s="1"/>
  <c r="AK197" i="1"/>
  <c r="AP197" i="1"/>
  <c r="Y197" i="1" l="1"/>
  <c r="AA197" i="1"/>
  <c r="V2" i="1"/>
  <c r="AR212" i="1" l="1"/>
  <c r="AQ212" i="1"/>
  <c r="AP212" i="1"/>
  <c r="AO212" i="1"/>
  <c r="AM212" i="1"/>
  <c r="AL212" i="1"/>
  <c r="AK212" i="1"/>
  <c r="AJ212" i="1"/>
  <c r="AB212" i="1"/>
  <c r="V212" i="1"/>
  <c r="U212" i="1" s="1"/>
  <c r="Q212" i="1"/>
  <c r="F212" i="1"/>
  <c r="G212" i="1" s="1"/>
  <c r="AF212" i="1" s="1"/>
  <c r="AD212" i="1" l="1"/>
  <c r="AH212" i="1" s="1"/>
  <c r="AG212" i="1" s="1"/>
  <c r="R212" i="1"/>
  <c r="F203" i="1"/>
  <c r="G203" i="1" s="1"/>
  <c r="Y212" i="1" l="1"/>
  <c r="AA212" i="1"/>
  <c r="AR201" i="1"/>
  <c r="AQ201" i="1"/>
  <c r="AP201" i="1"/>
  <c r="AO201" i="1"/>
  <c r="AM201" i="1"/>
  <c r="AL201" i="1"/>
  <c r="AK201" i="1"/>
  <c r="AJ201" i="1"/>
  <c r="AB201" i="1"/>
  <c r="V201" i="1"/>
  <c r="U201" i="1" s="1"/>
  <c r="F201" i="1"/>
  <c r="G201" i="1" s="1"/>
  <c r="AF201" i="1" s="1"/>
  <c r="R201" i="1" l="1"/>
  <c r="AD201" i="1"/>
  <c r="AH201" i="1" s="1"/>
  <c r="AG201" i="1" s="1"/>
  <c r="AQ219" i="1"/>
  <c r="AP219" i="1"/>
  <c r="AO219" i="1"/>
  <c r="AL219" i="1"/>
  <c r="AK219" i="1"/>
  <c r="AJ219" i="1"/>
  <c r="AB219" i="1"/>
  <c r="V219" i="1"/>
  <c r="U219" i="1" s="1"/>
  <c r="AR219" i="1" s="1"/>
  <c r="Q219" i="1"/>
  <c r="F219" i="1"/>
  <c r="G219" i="1" s="1"/>
  <c r="AF219" i="1" s="1"/>
  <c r="AD3" i="1"/>
  <c r="Y201" i="1" l="1"/>
  <c r="AA201" i="1"/>
  <c r="AM219" i="1"/>
  <c r="R219" i="1"/>
  <c r="AD219" i="1"/>
  <c r="AH219" i="1" s="1"/>
  <c r="AG219" i="1" s="1"/>
  <c r="Y219" i="1" l="1"/>
  <c r="AA219" i="1"/>
  <c r="Q174" i="1"/>
  <c r="AQ174" i="1"/>
  <c r="AP174" i="1"/>
  <c r="AO174" i="1"/>
  <c r="AL174" i="1"/>
  <c r="AK174" i="1"/>
  <c r="AJ174" i="1"/>
  <c r="AB174" i="1"/>
  <c r="AA174" i="1"/>
  <c r="V174" i="1"/>
  <c r="U174" i="1" s="1"/>
  <c r="F174" i="1"/>
  <c r="G174" i="1" s="1"/>
  <c r="AF174" i="1" s="1"/>
  <c r="Q177" i="1"/>
  <c r="AR198" i="1"/>
  <c r="AQ198" i="1"/>
  <c r="AO198" i="1"/>
  <c r="AM198" i="1"/>
  <c r="AL198" i="1"/>
  <c r="AJ198" i="1"/>
  <c r="AB198" i="1"/>
  <c r="V198" i="1"/>
  <c r="U198" i="1" s="1"/>
  <c r="Q198" i="1"/>
  <c r="F198" i="1"/>
  <c r="G198" i="1" s="1"/>
  <c r="AF198" i="1" s="1"/>
  <c r="AD198" i="1" l="1"/>
  <c r="AH198" i="1" s="1"/>
  <c r="AG198" i="1" s="1"/>
  <c r="AM174" i="1"/>
  <c r="AD174" i="1"/>
  <c r="AH174" i="1" s="1"/>
  <c r="AG174" i="1" s="1"/>
  <c r="AR174" i="1"/>
  <c r="R174" i="1"/>
  <c r="Y174" i="1" s="1"/>
  <c r="AP198" i="1"/>
  <c r="AK198" i="1"/>
  <c r="R198" i="1"/>
  <c r="Y198" i="1" l="1"/>
  <c r="AA198" i="1"/>
  <c r="AR208" i="1"/>
  <c r="AQ208" i="1"/>
  <c r="AP208" i="1"/>
  <c r="AO208" i="1"/>
  <c r="AM208" i="1"/>
  <c r="AL208" i="1"/>
  <c r="AK208" i="1"/>
  <c r="AJ208" i="1"/>
  <c r="AB208" i="1"/>
  <c r="V208" i="1"/>
  <c r="U208" i="1" s="1"/>
  <c r="F208" i="1"/>
  <c r="G208" i="1" s="1"/>
  <c r="AF208" i="1" s="1"/>
  <c r="AD208" i="1" l="1"/>
  <c r="AH208" i="1" s="1"/>
  <c r="AG208" i="1" s="1"/>
  <c r="R208" i="1"/>
  <c r="Q169" i="1"/>
  <c r="Y208" i="1" l="1"/>
  <c r="AA208" i="1"/>
  <c r="AR170" i="1"/>
  <c r="AQ170" i="1"/>
  <c r="AP170" i="1"/>
  <c r="AO170" i="1"/>
  <c r="AM170" i="1"/>
  <c r="AL170" i="1"/>
  <c r="AK170" i="1"/>
  <c r="AJ170" i="1"/>
  <c r="AB170" i="1"/>
  <c r="AA170" i="1"/>
  <c r="V170" i="1"/>
  <c r="U170" i="1" s="1"/>
  <c r="R170" i="1"/>
  <c r="Q170" i="1"/>
  <c r="F170" i="1"/>
  <c r="G170" i="1" s="1"/>
  <c r="AF170" i="1" s="1"/>
  <c r="AR189" i="1"/>
  <c r="AQ189" i="1"/>
  <c r="AP189" i="1"/>
  <c r="AM189" i="1"/>
  <c r="AL189" i="1"/>
  <c r="AK189" i="1"/>
  <c r="AB189" i="1"/>
  <c r="V189" i="1"/>
  <c r="U189" i="1" s="1"/>
  <c r="Q189" i="1"/>
  <c r="F189" i="1"/>
  <c r="G189" i="1" s="1"/>
  <c r="AF189" i="1" s="1"/>
  <c r="AR205" i="1"/>
  <c r="AQ205" i="1"/>
  <c r="AP205" i="1"/>
  <c r="AO205" i="1"/>
  <c r="AM205" i="1"/>
  <c r="AL205" i="1"/>
  <c r="AK205" i="1"/>
  <c r="AJ205" i="1"/>
  <c r="AB205" i="1"/>
  <c r="V205" i="1"/>
  <c r="U205" i="1" s="1"/>
  <c r="Q205" i="1"/>
  <c r="F205" i="1"/>
  <c r="G205" i="1" s="1"/>
  <c r="AF205" i="1" s="1"/>
  <c r="AR190" i="1"/>
  <c r="AQ190" i="1"/>
  <c r="AP190" i="1"/>
  <c r="AM190" i="1"/>
  <c r="AL190" i="1"/>
  <c r="AK190" i="1"/>
  <c r="AF190" i="1"/>
  <c r="AB190" i="1"/>
  <c r="AA190" i="1"/>
  <c r="V190" i="1"/>
  <c r="U190" i="1" s="1"/>
  <c r="AO190" i="1" s="1"/>
  <c r="R190" i="1"/>
  <c r="Q190" i="1"/>
  <c r="F190" i="1"/>
  <c r="G190" i="1" s="1"/>
  <c r="AR188" i="1"/>
  <c r="AQ188" i="1"/>
  <c r="AP188" i="1"/>
  <c r="AM188" i="1"/>
  <c r="AL188" i="1"/>
  <c r="AK188" i="1"/>
  <c r="AF188" i="1"/>
  <c r="AB188" i="1"/>
  <c r="AA188" i="1"/>
  <c r="V188" i="1"/>
  <c r="U188" i="1" s="1"/>
  <c r="AO188" i="1" s="1"/>
  <c r="R188" i="1"/>
  <c r="Q188" i="1"/>
  <c r="F188" i="1"/>
  <c r="G188" i="1" s="1"/>
  <c r="AR187" i="1"/>
  <c r="AQ187" i="1"/>
  <c r="AP187" i="1"/>
  <c r="AM187" i="1"/>
  <c r="AL187" i="1"/>
  <c r="AK187" i="1"/>
  <c r="AF187" i="1"/>
  <c r="AB187" i="1"/>
  <c r="AA187" i="1"/>
  <c r="V187" i="1"/>
  <c r="U187" i="1" s="1"/>
  <c r="AO187" i="1" s="1"/>
  <c r="R187" i="1"/>
  <c r="Q187" i="1"/>
  <c r="F187" i="1"/>
  <c r="G187" i="1" s="1"/>
  <c r="AR203" i="1"/>
  <c r="AQ203" i="1"/>
  <c r="AP203" i="1"/>
  <c r="AO203" i="1"/>
  <c r="AM203" i="1"/>
  <c r="AL203" i="1"/>
  <c r="AK203" i="1"/>
  <c r="AJ203" i="1"/>
  <c r="AB203" i="1"/>
  <c r="V203" i="1"/>
  <c r="U203" i="1" s="1"/>
  <c r="Q203" i="1"/>
  <c r="AF203" i="1"/>
  <c r="AR202" i="1"/>
  <c r="AQ202" i="1"/>
  <c r="AP202" i="1"/>
  <c r="AO202" i="1"/>
  <c r="AM202" i="1"/>
  <c r="AL202" i="1"/>
  <c r="AK202" i="1"/>
  <c r="AJ202" i="1"/>
  <c r="AB202" i="1"/>
  <c r="V202" i="1"/>
  <c r="U202" i="1" s="1"/>
  <c r="Q202" i="1"/>
  <c r="F202" i="1"/>
  <c r="G202" i="1" s="1"/>
  <c r="AF202" i="1" s="1"/>
  <c r="AR172" i="1"/>
  <c r="AQ172" i="1"/>
  <c r="AP172" i="1"/>
  <c r="AO172" i="1"/>
  <c r="AM172" i="1"/>
  <c r="AL172" i="1"/>
  <c r="AK172" i="1"/>
  <c r="AJ172" i="1"/>
  <c r="AB172" i="1"/>
  <c r="V172" i="1"/>
  <c r="Q172" i="1"/>
  <c r="F172" i="1"/>
  <c r="G172" i="1" s="1"/>
  <c r="AF172" i="1" s="1"/>
  <c r="AD170" i="1" l="1"/>
  <c r="AH170" i="1" s="1"/>
  <c r="AG170" i="1" s="1"/>
  <c r="Y170" i="1"/>
  <c r="AD189" i="1"/>
  <c r="AH189" i="1" s="1"/>
  <c r="AG189" i="1" s="1"/>
  <c r="AJ189" i="1"/>
  <c r="AO189" i="1"/>
  <c r="AJ187" i="1"/>
  <c r="AJ190" i="1"/>
  <c r="AJ188" i="1"/>
  <c r="R189" i="1"/>
  <c r="AD205" i="1"/>
  <c r="AH205" i="1" s="1"/>
  <c r="AG205" i="1" s="1"/>
  <c r="R205" i="1"/>
  <c r="Y190" i="1"/>
  <c r="Y187" i="1"/>
  <c r="AD190" i="1"/>
  <c r="AH190" i="1" s="1"/>
  <c r="AG190" i="1" s="1"/>
  <c r="Y188" i="1"/>
  <c r="AD203" i="1"/>
  <c r="AH203" i="1" s="1"/>
  <c r="AG203" i="1" s="1"/>
  <c r="AD187" i="1"/>
  <c r="AH187" i="1" s="1"/>
  <c r="AG187" i="1" s="1"/>
  <c r="AD188" i="1"/>
  <c r="AH188" i="1" s="1"/>
  <c r="AG188" i="1" s="1"/>
  <c r="R203" i="1"/>
  <c r="R202" i="1"/>
  <c r="AD202" i="1"/>
  <c r="AH202" i="1" s="1"/>
  <c r="AG202" i="1" s="1"/>
  <c r="R172" i="1"/>
  <c r="AD172" i="1"/>
  <c r="AH172" i="1" s="1"/>
  <c r="AG172" i="1" s="1"/>
  <c r="AR193" i="1"/>
  <c r="AQ193" i="1"/>
  <c r="AP193" i="1"/>
  <c r="AM193" i="1"/>
  <c r="AL193" i="1"/>
  <c r="AK193" i="1"/>
  <c r="AB193" i="1"/>
  <c r="V193" i="1"/>
  <c r="U193" i="1" s="1"/>
  <c r="Q193" i="1"/>
  <c r="F193" i="1"/>
  <c r="G193" i="1" s="1"/>
  <c r="AF193" i="1" s="1"/>
  <c r="Y205" i="1" l="1"/>
  <c r="AA205" i="1"/>
  <c r="Y189" i="1"/>
  <c r="AA189" i="1"/>
  <c r="Y203" i="1"/>
  <c r="AA203" i="1"/>
  <c r="Y202" i="1"/>
  <c r="AA202" i="1"/>
  <c r="Y172" i="1"/>
  <c r="AA172" i="1"/>
  <c r="AD193" i="1"/>
  <c r="AH193" i="1" s="1"/>
  <c r="AG193" i="1" s="1"/>
  <c r="AO193" i="1"/>
  <c r="AJ193" i="1"/>
  <c r="R193" i="1"/>
  <c r="AR196" i="1"/>
  <c r="AQ196" i="1"/>
  <c r="AP196" i="1"/>
  <c r="AO196" i="1"/>
  <c r="AM196" i="1"/>
  <c r="AL196" i="1"/>
  <c r="AK196" i="1"/>
  <c r="AJ196" i="1"/>
  <c r="AB196" i="1"/>
  <c r="AA196" i="1"/>
  <c r="V196" i="1"/>
  <c r="U196" i="1" s="1"/>
  <c r="R196" i="1"/>
  <c r="Q196" i="1"/>
  <c r="F196" i="1"/>
  <c r="G196" i="1" s="1"/>
  <c r="AF196" i="1" s="1"/>
  <c r="Y193" i="1" l="1"/>
  <c r="AA193" i="1"/>
  <c r="Y196" i="1"/>
  <c r="AD196" i="1"/>
  <c r="AH196" i="1" s="1"/>
  <c r="AG196" i="1" s="1"/>
  <c r="AR195" i="1" l="1"/>
  <c r="AQ195" i="1"/>
  <c r="AO195" i="1"/>
  <c r="AM195" i="1"/>
  <c r="AL195" i="1"/>
  <c r="AJ195" i="1"/>
  <c r="AB195" i="1"/>
  <c r="V195" i="1"/>
  <c r="U195" i="1" s="1"/>
  <c r="R195" i="1" s="1"/>
  <c r="AA195" i="1" s="1"/>
  <c r="F195" i="1"/>
  <c r="G195" i="1" s="1"/>
  <c r="AF195" i="1" s="1"/>
  <c r="AR211" i="1"/>
  <c r="AQ211" i="1"/>
  <c r="AP211" i="1"/>
  <c r="AO211" i="1"/>
  <c r="AM211" i="1"/>
  <c r="AL211" i="1"/>
  <c r="AK211" i="1"/>
  <c r="AJ211" i="1"/>
  <c r="AB211" i="1"/>
  <c r="V211" i="1"/>
  <c r="U211" i="1" s="1"/>
  <c r="Q211" i="1"/>
  <c r="F211" i="1"/>
  <c r="G211" i="1" s="1"/>
  <c r="AF211" i="1" s="1"/>
  <c r="AR199" i="1"/>
  <c r="AQ199" i="1"/>
  <c r="AP199" i="1"/>
  <c r="AO199" i="1"/>
  <c r="AM199" i="1"/>
  <c r="AL199" i="1"/>
  <c r="AK199" i="1"/>
  <c r="AJ199" i="1"/>
  <c r="AB199" i="1"/>
  <c r="V199" i="1"/>
  <c r="U199" i="1" s="1"/>
  <c r="Q199" i="1"/>
  <c r="F199" i="1"/>
  <c r="G199" i="1" s="1"/>
  <c r="AF199" i="1" s="1"/>
  <c r="AK195" i="1" l="1"/>
  <c r="AP195" i="1"/>
  <c r="R211" i="1"/>
  <c r="Y195" i="1"/>
  <c r="AD195" i="1"/>
  <c r="AH195" i="1" s="1"/>
  <c r="AG195" i="1" s="1"/>
  <c r="AD199" i="1"/>
  <c r="AH199" i="1" s="1"/>
  <c r="AG199" i="1" s="1"/>
  <c r="AD211" i="1"/>
  <c r="AH211" i="1" s="1"/>
  <c r="AG211" i="1" s="1"/>
  <c r="R199" i="1"/>
  <c r="Y199" i="1" l="1"/>
  <c r="AA199" i="1"/>
  <c r="Y211" i="1"/>
  <c r="AA211" i="1"/>
  <c r="AR204" i="1"/>
  <c r="AQ204" i="1"/>
  <c r="AP204" i="1"/>
  <c r="AO204" i="1"/>
  <c r="AM204" i="1"/>
  <c r="AL204" i="1"/>
  <c r="AK204" i="1"/>
  <c r="AJ204" i="1"/>
  <c r="AB204" i="1"/>
  <c r="AA204" i="1"/>
  <c r="V204" i="1"/>
  <c r="U204" i="1" s="1"/>
  <c r="R204" i="1"/>
  <c r="Q204" i="1"/>
  <c r="F204" i="1"/>
  <c r="G204" i="1" s="1"/>
  <c r="AF204" i="1" s="1"/>
  <c r="Y204" i="1" l="1"/>
  <c r="AD204" i="1"/>
  <c r="AH204" i="1" s="1"/>
  <c r="AG204" i="1" s="1"/>
  <c r="AR154" i="1" l="1"/>
  <c r="AQ154" i="1"/>
  <c r="AO154" i="1"/>
  <c r="AM154" i="1"/>
  <c r="AL154" i="1"/>
  <c r="AJ154" i="1"/>
  <c r="AB154" i="1"/>
  <c r="AA154" i="1"/>
  <c r="V154" i="1"/>
  <c r="U154" i="1" s="1"/>
  <c r="Q154" i="1"/>
  <c r="F154" i="1"/>
  <c r="G154" i="1" s="1"/>
  <c r="AF154" i="1" s="1"/>
  <c r="AD154" i="1" l="1"/>
  <c r="AH154" i="1" s="1"/>
  <c r="AG154" i="1" s="1"/>
  <c r="R154" i="1"/>
  <c r="Y154" i="1" s="1"/>
  <c r="AP154" i="1"/>
  <c r="AK154" i="1"/>
  <c r="AQ179" i="1"/>
  <c r="AP179" i="1"/>
  <c r="AO179" i="1"/>
  <c r="AL179" i="1"/>
  <c r="AK179" i="1"/>
  <c r="AJ179" i="1"/>
  <c r="AB179" i="1"/>
  <c r="AA179" i="1"/>
  <c r="V179" i="1"/>
  <c r="U179" i="1" s="1"/>
  <c r="Q179" i="1"/>
  <c r="F179" i="1"/>
  <c r="G179" i="1" s="1"/>
  <c r="AF179" i="1" s="1"/>
  <c r="R179" i="1" l="1"/>
  <c r="Y179" i="1" s="1"/>
  <c r="AR179" i="1"/>
  <c r="AM179" i="1"/>
  <c r="AD179" i="1"/>
  <c r="AH179" i="1" s="1"/>
  <c r="AG179" i="1" s="1"/>
  <c r="AQ181" i="1"/>
  <c r="AP181" i="1"/>
  <c r="AO181" i="1"/>
  <c r="AL181" i="1"/>
  <c r="AK181" i="1"/>
  <c r="AJ181" i="1"/>
  <c r="AB181" i="1"/>
  <c r="V181" i="1"/>
  <c r="U181" i="1" s="1"/>
  <c r="Q181" i="1"/>
  <c r="F181" i="1"/>
  <c r="G181" i="1" s="1"/>
  <c r="AF181" i="1" s="1"/>
  <c r="P184" i="1"/>
  <c r="AR167" i="1"/>
  <c r="AQ167" i="1"/>
  <c r="AP167" i="1"/>
  <c r="AO167" i="1"/>
  <c r="AM167" i="1"/>
  <c r="AL167" i="1"/>
  <c r="AK167" i="1"/>
  <c r="AJ167" i="1"/>
  <c r="AB167" i="1"/>
  <c r="V167" i="1"/>
  <c r="U167" i="1" s="1"/>
  <c r="Q167" i="1"/>
  <c r="F167" i="1"/>
  <c r="G167" i="1" s="1"/>
  <c r="AF167" i="1" s="1"/>
  <c r="F221" i="1"/>
  <c r="G221" i="1" s="1"/>
  <c r="AQ178" i="1"/>
  <c r="AP178" i="1"/>
  <c r="AO178" i="1"/>
  <c r="AL178" i="1"/>
  <c r="AK178" i="1"/>
  <c r="AJ178" i="1"/>
  <c r="AB178" i="1"/>
  <c r="AA178" i="1"/>
  <c r="V178" i="1"/>
  <c r="U178" i="1" s="1"/>
  <c r="R178" i="1"/>
  <c r="Q178" i="1"/>
  <c r="F178" i="1"/>
  <c r="G178" i="1" s="1"/>
  <c r="AF178" i="1" s="1"/>
  <c r="Y178" i="1" l="1"/>
  <c r="R181" i="1"/>
  <c r="AR181" i="1"/>
  <c r="AM181" i="1"/>
  <c r="AD181" i="1"/>
  <c r="AH181" i="1" s="1"/>
  <c r="AG181" i="1" s="1"/>
  <c r="AD167" i="1"/>
  <c r="AH167" i="1" s="1"/>
  <c r="AG167" i="1" s="1"/>
  <c r="R167" i="1"/>
  <c r="AR178" i="1"/>
  <c r="AM178" i="1"/>
  <c r="AD178" i="1"/>
  <c r="AH178" i="1" s="1"/>
  <c r="AG178" i="1" s="1"/>
  <c r="Y167" i="1" l="1"/>
  <c r="AA167" i="1"/>
  <c r="Y181" i="1"/>
  <c r="AA181" i="1"/>
  <c r="AR191" i="1"/>
  <c r="AQ191" i="1"/>
  <c r="AP191" i="1"/>
  <c r="AM191" i="1"/>
  <c r="AL191" i="1"/>
  <c r="AK191" i="1"/>
  <c r="AB191" i="1"/>
  <c r="V191" i="1"/>
  <c r="U191" i="1" s="1"/>
  <c r="AO191" i="1" s="1"/>
  <c r="Q191" i="1"/>
  <c r="F191" i="1"/>
  <c r="G191" i="1" s="1"/>
  <c r="AF191" i="1" s="1"/>
  <c r="AJ191" i="1" l="1"/>
  <c r="R191" i="1"/>
  <c r="AD191" i="1"/>
  <c r="AH191" i="1" s="1"/>
  <c r="AG191" i="1" s="1"/>
  <c r="AQ180" i="1"/>
  <c r="AP180" i="1"/>
  <c r="AO180" i="1"/>
  <c r="AL180" i="1"/>
  <c r="AK180" i="1"/>
  <c r="AJ180" i="1"/>
  <c r="AB180" i="1"/>
  <c r="V180" i="1"/>
  <c r="U180" i="1" s="1"/>
  <c r="Q180" i="1"/>
  <c r="F180" i="1"/>
  <c r="G180" i="1" s="1"/>
  <c r="AF180" i="1" s="1"/>
  <c r="AD180" i="1" l="1"/>
  <c r="AH180" i="1" s="1"/>
  <c r="AG180" i="1" s="1"/>
  <c r="AM180" i="1"/>
  <c r="AR180" i="1"/>
  <c r="Y191" i="1"/>
  <c r="AA191" i="1"/>
  <c r="R180" i="1"/>
  <c r="Q147" i="1"/>
  <c r="AR147" i="1"/>
  <c r="AQ147" i="1"/>
  <c r="AP147" i="1"/>
  <c r="AM147" i="1"/>
  <c r="AL147" i="1"/>
  <c r="AK147" i="1"/>
  <c r="AB147" i="1"/>
  <c r="V147" i="1"/>
  <c r="U147" i="1" s="1"/>
  <c r="F147" i="1"/>
  <c r="G147" i="1" s="1"/>
  <c r="AF147" i="1" s="1"/>
  <c r="Y180" i="1" l="1"/>
  <c r="AA180" i="1"/>
  <c r="R147" i="1"/>
  <c r="AO147" i="1"/>
  <c r="AJ147" i="1"/>
  <c r="AD147" i="1"/>
  <c r="AH147" i="1" s="1"/>
  <c r="AG147" i="1" s="1"/>
  <c r="V177" i="1"/>
  <c r="AQ175" i="1"/>
  <c r="AP175" i="1"/>
  <c r="AO175" i="1"/>
  <c r="AL175" i="1"/>
  <c r="AK175" i="1"/>
  <c r="AJ175" i="1"/>
  <c r="AB175" i="1"/>
  <c r="AA175" i="1"/>
  <c r="V175" i="1"/>
  <c r="U175" i="1" s="1"/>
  <c r="AR175" i="1" s="1"/>
  <c r="Q175" i="1"/>
  <c r="F175" i="1"/>
  <c r="G175" i="1" s="1"/>
  <c r="AF175" i="1" s="1"/>
  <c r="AA147" i="1" l="1"/>
  <c r="Y147" i="1"/>
  <c r="AM175" i="1"/>
  <c r="R175" i="1"/>
  <c r="Y175" i="1" s="1"/>
  <c r="AD175" i="1"/>
  <c r="AH175" i="1" s="1"/>
  <c r="AG175" i="1" s="1"/>
  <c r="AQ138" i="1"/>
  <c r="AP138" i="1"/>
  <c r="AO138" i="1"/>
  <c r="AL138" i="1"/>
  <c r="AK138" i="1"/>
  <c r="AJ138" i="1"/>
  <c r="AB138" i="1"/>
  <c r="V138" i="1"/>
  <c r="U138" i="1" s="1"/>
  <c r="AR138" i="1" s="1"/>
  <c r="Q138" i="1"/>
  <c r="F138" i="1"/>
  <c r="G138" i="1" s="1"/>
  <c r="AF138" i="1" s="1"/>
  <c r="AM138" i="1" l="1"/>
  <c r="R138" i="1"/>
  <c r="AD138" i="1"/>
  <c r="AH138" i="1" s="1"/>
  <c r="AG138" i="1" s="1"/>
  <c r="AR164" i="1"/>
  <c r="AQ164" i="1"/>
  <c r="AP164" i="1"/>
  <c r="AO164" i="1"/>
  <c r="AM164" i="1"/>
  <c r="AL164" i="1"/>
  <c r="AK164" i="1"/>
  <c r="AJ164" i="1"/>
  <c r="AB164" i="1"/>
  <c r="AA164" i="1"/>
  <c r="V164" i="1"/>
  <c r="U164" i="1" s="1"/>
  <c r="R164" i="1"/>
  <c r="Q164" i="1"/>
  <c r="F164" i="1"/>
  <c r="G164" i="1" s="1"/>
  <c r="AF164" i="1" s="1"/>
  <c r="F165" i="1"/>
  <c r="G165" i="1" s="1"/>
  <c r="AF165" i="1" s="1"/>
  <c r="Q165" i="1"/>
  <c r="V165" i="1"/>
  <c r="U165" i="1" s="1"/>
  <c r="AB165" i="1"/>
  <c r="AJ165" i="1"/>
  <c r="AK165" i="1"/>
  <c r="AM165" i="1"/>
  <c r="AO165" i="1"/>
  <c r="AP165" i="1"/>
  <c r="AR165" i="1"/>
  <c r="AD164" i="1" l="1"/>
  <c r="AH164" i="1" s="1"/>
  <c r="AG164" i="1" s="1"/>
  <c r="Y138" i="1"/>
  <c r="AA138" i="1"/>
  <c r="AD165" i="1"/>
  <c r="AH165" i="1" s="1"/>
  <c r="AG165" i="1" s="1"/>
  <c r="Y164" i="1"/>
  <c r="R165" i="1"/>
  <c r="Y165" i="1" s="1"/>
  <c r="AQ165" i="1"/>
  <c r="AL165" i="1"/>
  <c r="AA165" i="1" l="1"/>
  <c r="AR162" i="1"/>
  <c r="AQ162" i="1"/>
  <c r="AO162" i="1"/>
  <c r="AM162" i="1"/>
  <c r="AL162" i="1"/>
  <c r="AJ162" i="1"/>
  <c r="AB162" i="1"/>
  <c r="AA162" i="1"/>
  <c r="V162" i="1"/>
  <c r="U162" i="1" s="1"/>
  <c r="Q162" i="1"/>
  <c r="F162" i="1"/>
  <c r="G162" i="1" s="1"/>
  <c r="AF162" i="1" s="1"/>
  <c r="AD162" i="1" l="1"/>
  <c r="AH162" i="1" s="1"/>
  <c r="AG162" i="1" s="1"/>
  <c r="R162" i="1"/>
  <c r="Y162" i="1" s="1"/>
  <c r="AK162" i="1"/>
  <c r="AP162" i="1"/>
  <c r="AR130" i="1" l="1"/>
  <c r="AQ130" i="1"/>
  <c r="AP130" i="1"/>
  <c r="AO130" i="1"/>
  <c r="AM130" i="1"/>
  <c r="AL130" i="1"/>
  <c r="AK130" i="1"/>
  <c r="AJ130" i="1"/>
  <c r="AB130" i="1"/>
  <c r="AA130" i="1"/>
  <c r="V130" i="1"/>
  <c r="U130" i="1" s="1"/>
  <c r="R130" i="1"/>
  <c r="Q130" i="1"/>
  <c r="F130" i="1"/>
  <c r="G130" i="1" s="1"/>
  <c r="AF130" i="1" s="1"/>
  <c r="Y130" i="1" l="1"/>
  <c r="AD130" i="1"/>
  <c r="AH130" i="1" s="1"/>
  <c r="AG130" i="1" s="1"/>
  <c r="AQ177" i="1"/>
  <c r="AP177" i="1"/>
  <c r="AO177" i="1"/>
  <c r="AL177" i="1"/>
  <c r="AK177" i="1"/>
  <c r="AJ177" i="1"/>
  <c r="AB177" i="1"/>
  <c r="AA177" i="1"/>
  <c r="U177" i="1"/>
  <c r="AR177" i="1" s="1"/>
  <c r="F177" i="1"/>
  <c r="G177" i="1" s="1"/>
  <c r="AF177" i="1" s="1"/>
  <c r="AM177" i="1" l="1"/>
  <c r="R177" i="1"/>
  <c r="Y177" i="1" s="1"/>
  <c r="AD177" i="1"/>
  <c r="AH177" i="1" s="1"/>
  <c r="AG177" i="1" s="1"/>
  <c r="AR160" i="1"/>
  <c r="AQ160" i="1"/>
  <c r="AO160" i="1"/>
  <c r="AM160" i="1"/>
  <c r="AL160" i="1"/>
  <c r="AJ160" i="1"/>
  <c r="AB160" i="1"/>
  <c r="AA160" i="1"/>
  <c r="V160" i="1"/>
  <c r="U160" i="1" s="1"/>
  <c r="Q160" i="1"/>
  <c r="F160" i="1"/>
  <c r="G160" i="1" s="1"/>
  <c r="AF160" i="1" s="1"/>
  <c r="AD160" i="1" l="1"/>
  <c r="AH160" i="1" s="1"/>
  <c r="AG160" i="1" s="1"/>
  <c r="AP160" i="1"/>
  <c r="AK160" i="1"/>
  <c r="R160" i="1"/>
  <c r="Y160" i="1" s="1"/>
  <c r="AR158" i="1"/>
  <c r="AQ158" i="1"/>
  <c r="AO158" i="1"/>
  <c r="AM158" i="1"/>
  <c r="AL158" i="1"/>
  <c r="AJ158" i="1"/>
  <c r="AB158" i="1"/>
  <c r="AA158" i="1"/>
  <c r="V158" i="1"/>
  <c r="U158" i="1" s="1"/>
  <c r="Q158" i="1"/>
  <c r="F158" i="1"/>
  <c r="G158" i="1" s="1"/>
  <c r="AF158" i="1" s="1"/>
  <c r="R158" i="1" l="1"/>
  <c r="Y158" i="1" s="1"/>
  <c r="AK158" i="1"/>
  <c r="AP158" i="1"/>
  <c r="AD158" i="1"/>
  <c r="AH158" i="1" s="1"/>
  <c r="AG158" i="1" s="1"/>
  <c r="AR159" i="1"/>
  <c r="AQ159" i="1"/>
  <c r="AP159" i="1"/>
  <c r="AO159" i="1"/>
  <c r="AM159" i="1"/>
  <c r="AL159" i="1"/>
  <c r="AK159" i="1"/>
  <c r="AJ159" i="1"/>
  <c r="AB159" i="1"/>
  <c r="V159" i="1"/>
  <c r="U159" i="1" s="1"/>
  <c r="Q159" i="1"/>
  <c r="F159" i="1"/>
  <c r="G159" i="1" s="1"/>
  <c r="AF159" i="1" s="1"/>
  <c r="AR146" i="1"/>
  <c r="AQ146" i="1"/>
  <c r="AP146" i="1"/>
  <c r="AM146" i="1"/>
  <c r="AL146" i="1"/>
  <c r="AK146" i="1"/>
  <c r="AB146" i="1"/>
  <c r="V146" i="1"/>
  <c r="U146" i="1" s="1"/>
  <c r="Q146" i="1"/>
  <c r="F146" i="1"/>
  <c r="G146" i="1" s="1"/>
  <c r="AF146" i="1" s="1"/>
  <c r="AR155" i="1"/>
  <c r="AQ155" i="1"/>
  <c r="AO155" i="1"/>
  <c r="AM155" i="1"/>
  <c r="AL155" i="1"/>
  <c r="AJ155" i="1"/>
  <c r="AB155" i="1"/>
  <c r="AA155" i="1"/>
  <c r="V155" i="1"/>
  <c r="U155" i="1" s="1"/>
  <c r="Q155" i="1"/>
  <c r="F155" i="1"/>
  <c r="G155" i="1" s="1"/>
  <c r="AF155" i="1" s="1"/>
  <c r="F153" i="1"/>
  <c r="G153" i="1" s="1"/>
  <c r="AF153" i="1" s="1"/>
  <c r="Q153" i="1"/>
  <c r="R153" i="1"/>
  <c r="V153" i="1"/>
  <c r="U153" i="1" s="1"/>
  <c r="AA153" i="1"/>
  <c r="AB153" i="1"/>
  <c r="AJ153" i="1"/>
  <c r="AL153" i="1"/>
  <c r="AM153" i="1"/>
  <c r="AO153" i="1"/>
  <c r="AQ153" i="1"/>
  <c r="AR153" i="1"/>
  <c r="AR156" i="1"/>
  <c r="AQ156" i="1"/>
  <c r="AO156" i="1"/>
  <c r="AM156" i="1"/>
  <c r="AL156" i="1"/>
  <c r="AJ156" i="1"/>
  <c r="AB156" i="1"/>
  <c r="V156" i="1"/>
  <c r="U156" i="1" s="1"/>
  <c r="Q156" i="1"/>
  <c r="F156" i="1"/>
  <c r="G156" i="1" s="1"/>
  <c r="AF156" i="1" s="1"/>
  <c r="AR163" i="1"/>
  <c r="AO163" i="1"/>
  <c r="AM163" i="1"/>
  <c r="AJ163" i="1"/>
  <c r="AB163" i="1"/>
  <c r="V163" i="1"/>
  <c r="U163" i="1" s="1"/>
  <c r="AP163" i="1" s="1"/>
  <c r="Q163" i="1"/>
  <c r="F163" i="1"/>
  <c r="G163" i="1" l="1"/>
  <c r="AF163" i="1" s="1"/>
  <c r="R163" i="1"/>
  <c r="R146" i="1"/>
  <c r="AK163" i="1"/>
  <c r="R159" i="1"/>
  <c r="AD155" i="1"/>
  <c r="AH155" i="1" s="1"/>
  <c r="AG155" i="1" s="1"/>
  <c r="AD159" i="1"/>
  <c r="AH159" i="1" s="1"/>
  <c r="AG159" i="1" s="1"/>
  <c r="R156" i="1"/>
  <c r="AJ146" i="1"/>
  <c r="AO146" i="1"/>
  <c r="AK155" i="1"/>
  <c r="AP155" i="1"/>
  <c r="AD146" i="1"/>
  <c r="AH146" i="1" s="1"/>
  <c r="AG146" i="1" s="1"/>
  <c r="R155" i="1"/>
  <c r="Y155" i="1" s="1"/>
  <c r="AK153" i="1"/>
  <c r="AP153" i="1"/>
  <c r="AP156" i="1"/>
  <c r="AK156" i="1"/>
  <c r="Y153" i="1"/>
  <c r="AD153" i="1"/>
  <c r="AH153" i="1" s="1"/>
  <c r="AG153" i="1" s="1"/>
  <c r="AD156" i="1"/>
  <c r="AH156" i="1" s="1"/>
  <c r="AG156" i="1" s="1"/>
  <c r="AQ163" i="1"/>
  <c r="AL163" i="1"/>
  <c r="AD163" i="1"/>
  <c r="AR151" i="1"/>
  <c r="AQ151" i="1"/>
  <c r="AP151" i="1"/>
  <c r="AM151" i="1"/>
  <c r="AL151" i="1"/>
  <c r="AK151" i="1"/>
  <c r="AB151" i="1"/>
  <c r="V151" i="1"/>
  <c r="U151" i="1" s="1"/>
  <c r="Q151" i="1"/>
  <c r="F151" i="1"/>
  <c r="G151" i="1" s="1"/>
  <c r="AF151" i="1" s="1"/>
  <c r="AQ136" i="1"/>
  <c r="AP136" i="1"/>
  <c r="AO136" i="1"/>
  <c r="AL136" i="1"/>
  <c r="AK136" i="1"/>
  <c r="AJ136" i="1"/>
  <c r="AB136" i="1"/>
  <c r="V136" i="1"/>
  <c r="U136" i="1" s="1"/>
  <c r="AR136" i="1" s="1"/>
  <c r="Q136" i="1"/>
  <c r="F136" i="1"/>
  <c r="G136" i="1" s="1"/>
  <c r="AF136" i="1" s="1"/>
  <c r="AQ139" i="1"/>
  <c r="AP139" i="1"/>
  <c r="AO139" i="1"/>
  <c r="AL139" i="1"/>
  <c r="AK139" i="1"/>
  <c r="AJ139" i="1"/>
  <c r="AB139" i="1"/>
  <c r="V139" i="1"/>
  <c r="U139" i="1" s="1"/>
  <c r="Q139" i="1"/>
  <c r="F139" i="1"/>
  <c r="G139" i="1" s="1"/>
  <c r="AF139" i="1" s="1"/>
  <c r="F169" i="1"/>
  <c r="G169" i="1" s="1"/>
  <c r="AF169" i="1" s="1"/>
  <c r="AR169" i="1"/>
  <c r="AP169" i="1"/>
  <c r="AO169" i="1"/>
  <c r="AM169" i="1"/>
  <c r="AK169" i="1"/>
  <c r="AJ169" i="1"/>
  <c r="AB169" i="1"/>
  <c r="V169" i="1"/>
  <c r="U169" i="1" s="1"/>
  <c r="AL169" i="1" s="1"/>
  <c r="AQ131" i="1"/>
  <c r="AP131" i="1"/>
  <c r="AO131" i="1"/>
  <c r="AL131" i="1"/>
  <c r="AK131" i="1"/>
  <c r="AJ131" i="1"/>
  <c r="AB131" i="1"/>
  <c r="V131" i="1"/>
  <c r="U131" i="1" s="1"/>
  <c r="Q131" i="1"/>
  <c r="F131" i="1"/>
  <c r="G131" i="1" s="1"/>
  <c r="AF131" i="1" s="1"/>
  <c r="AH163" i="1" l="1"/>
  <c r="AG163" i="1" s="1"/>
  <c r="Y159" i="1"/>
  <c r="AA159" i="1"/>
  <c r="Y163" i="1"/>
  <c r="AA163" i="1"/>
  <c r="Y156" i="1"/>
  <c r="AA156" i="1"/>
  <c r="Y146" i="1"/>
  <c r="AA146" i="1"/>
  <c r="R151" i="1"/>
  <c r="AD139" i="1"/>
  <c r="AH139" i="1" s="1"/>
  <c r="AG139" i="1" s="1"/>
  <c r="AD136" i="1"/>
  <c r="AH136" i="1" s="1"/>
  <c r="AG136" i="1" s="1"/>
  <c r="AM136" i="1"/>
  <c r="AJ151" i="1"/>
  <c r="AD151" i="1"/>
  <c r="AH151" i="1" s="1"/>
  <c r="AG151" i="1" s="1"/>
  <c r="AO151" i="1"/>
  <c r="R136" i="1"/>
  <c r="AM139" i="1"/>
  <c r="AR139" i="1"/>
  <c r="R139" i="1"/>
  <c r="AD131" i="1"/>
  <c r="AH131" i="1" s="1"/>
  <c r="AG131" i="1" s="1"/>
  <c r="AQ169" i="1"/>
  <c r="R169" i="1"/>
  <c r="AD169" i="1"/>
  <c r="AH169" i="1" s="1"/>
  <c r="AG169" i="1" s="1"/>
  <c r="AM131" i="1"/>
  <c r="R131" i="1"/>
  <c r="AR131" i="1"/>
  <c r="AR192" i="1"/>
  <c r="AQ192" i="1"/>
  <c r="AP192" i="1"/>
  <c r="AM192" i="1"/>
  <c r="AL192" i="1"/>
  <c r="AK192" i="1"/>
  <c r="AB192" i="1"/>
  <c r="V192" i="1"/>
  <c r="U192" i="1" s="1"/>
  <c r="AJ192" i="1" s="1"/>
  <c r="F192" i="1"/>
  <c r="G192" i="1" s="1"/>
  <c r="AF192" i="1" s="1"/>
  <c r="R218" i="1"/>
  <c r="R213" i="1"/>
  <c r="R210" i="1"/>
  <c r="R207" i="1"/>
  <c r="R200" i="1"/>
  <c r="Q223" i="1"/>
  <c r="Q222" i="1"/>
  <c r="Q221" i="1"/>
  <c r="Q218" i="1"/>
  <c r="Q217" i="1"/>
  <c r="Q215" i="1"/>
  <c r="Q213" i="1"/>
  <c r="Q210" i="1"/>
  <c r="Q207" i="1"/>
  <c r="Q200" i="1"/>
  <c r="Q194" i="1"/>
  <c r="Q186" i="1"/>
  <c r="P224" i="1"/>
  <c r="AR223" i="1"/>
  <c r="AQ223" i="1"/>
  <c r="AP223" i="1"/>
  <c r="AO223" i="1"/>
  <c r="AM223" i="1"/>
  <c r="AL223" i="1"/>
  <c r="AK223" i="1"/>
  <c r="AJ223" i="1"/>
  <c r="AF223" i="1"/>
  <c r="AB223" i="1"/>
  <c r="AA223" i="1"/>
  <c r="V223" i="1"/>
  <c r="U223" i="1" s="1"/>
  <c r="F223" i="1"/>
  <c r="G223" i="1" s="1"/>
  <c r="AQ222" i="1"/>
  <c r="AP222" i="1"/>
  <c r="AO222" i="1"/>
  <c r="AL222" i="1"/>
  <c r="AK222" i="1"/>
  <c r="AJ222" i="1"/>
  <c r="AF222" i="1"/>
  <c r="AB222" i="1"/>
  <c r="AA222" i="1"/>
  <c r="V222" i="1"/>
  <c r="U222" i="1" s="1"/>
  <c r="F222" i="1"/>
  <c r="G222" i="1" s="1"/>
  <c r="AR221" i="1"/>
  <c r="AP221" i="1"/>
  <c r="AO221" i="1"/>
  <c r="AM221" i="1"/>
  <c r="AK221" i="1"/>
  <c r="AJ221" i="1"/>
  <c r="AB221" i="1"/>
  <c r="AA221" i="1"/>
  <c r="V221" i="1"/>
  <c r="U221" i="1" s="1"/>
  <c r="AL221" i="1" s="1"/>
  <c r="AF221" i="1"/>
  <c r="AQ218" i="1"/>
  <c r="AP218" i="1"/>
  <c r="AO218" i="1"/>
  <c r="AL218" i="1"/>
  <c r="AK218" i="1"/>
  <c r="AJ218" i="1"/>
  <c r="AB218" i="1"/>
  <c r="AA218" i="1"/>
  <c r="V218" i="1"/>
  <c r="U218" i="1" s="1"/>
  <c r="AR218" i="1" s="1"/>
  <c r="F218" i="1"/>
  <c r="G218" i="1" s="1"/>
  <c r="AF218" i="1" s="1"/>
  <c r="AQ217" i="1"/>
  <c r="AP217" i="1"/>
  <c r="AO217" i="1"/>
  <c r="AK217" i="1"/>
  <c r="AJ217" i="1"/>
  <c r="AB217" i="1"/>
  <c r="V217" i="1"/>
  <c r="U217" i="1" s="1"/>
  <c r="AL217" i="1" s="1"/>
  <c r="F217" i="1"/>
  <c r="G217" i="1" s="1"/>
  <c r="AF217" i="1" s="1"/>
  <c r="AR215" i="1"/>
  <c r="AQ215" i="1"/>
  <c r="AO215" i="1"/>
  <c r="AM215" i="1"/>
  <c r="AL215" i="1"/>
  <c r="AJ215" i="1"/>
  <c r="AB215" i="1"/>
  <c r="V215" i="1"/>
  <c r="U215" i="1" s="1"/>
  <c r="F215" i="1"/>
  <c r="G215" i="1" s="1"/>
  <c r="AF215" i="1" s="1"/>
  <c r="AR213" i="1"/>
  <c r="AQ213" i="1"/>
  <c r="AO213" i="1"/>
  <c r="AM213" i="1"/>
  <c r="AL213" i="1"/>
  <c r="AJ213" i="1"/>
  <c r="AB213" i="1"/>
  <c r="AA213" i="1"/>
  <c r="V213" i="1"/>
  <c r="U213" i="1" s="1"/>
  <c r="AK213" i="1" s="1"/>
  <c r="F213" i="1"/>
  <c r="G213" i="1" s="1"/>
  <c r="AF213" i="1" s="1"/>
  <c r="AR210" i="1"/>
  <c r="AQ210" i="1"/>
  <c r="AO210" i="1"/>
  <c r="AM210" i="1"/>
  <c r="AL210" i="1"/>
  <c r="AJ210" i="1"/>
  <c r="AB210" i="1"/>
  <c r="V210" i="1"/>
  <c r="U210" i="1" s="1"/>
  <c r="F210" i="1"/>
  <c r="G210" i="1" s="1"/>
  <c r="AF210" i="1" s="1"/>
  <c r="AR207" i="1"/>
  <c r="AQ207" i="1"/>
  <c r="AP207" i="1"/>
  <c r="AM207" i="1"/>
  <c r="AL207" i="1"/>
  <c r="AK207" i="1"/>
  <c r="AB207" i="1"/>
  <c r="AA207" i="1"/>
  <c r="V207" i="1"/>
  <c r="U207" i="1" s="1"/>
  <c r="F207" i="1"/>
  <c r="G207" i="1" s="1"/>
  <c r="AF207" i="1" s="1"/>
  <c r="AR200" i="1"/>
  <c r="AQ200" i="1"/>
  <c r="AP200" i="1"/>
  <c r="AO200" i="1"/>
  <c r="AM200" i="1"/>
  <c r="AL200" i="1"/>
  <c r="AK200" i="1"/>
  <c r="AJ200" i="1"/>
  <c r="AB200" i="1"/>
  <c r="V200" i="1"/>
  <c r="U200" i="1" s="1"/>
  <c r="F200" i="1"/>
  <c r="G200" i="1" s="1"/>
  <c r="AF200" i="1" s="1"/>
  <c r="AR194" i="1"/>
  <c r="AQ194" i="1"/>
  <c r="AP194" i="1"/>
  <c r="AO194" i="1"/>
  <c r="AM194" i="1"/>
  <c r="AL194" i="1"/>
  <c r="AK194" i="1"/>
  <c r="AJ194" i="1"/>
  <c r="AB194" i="1"/>
  <c r="AD194" i="1" s="1"/>
  <c r="AA194" i="1"/>
  <c r="V194" i="1"/>
  <c r="R194" i="1"/>
  <c r="F194" i="1"/>
  <c r="G194" i="1" s="1"/>
  <c r="AF194" i="1" s="1"/>
  <c r="AR186" i="1"/>
  <c r="AQ186" i="1"/>
  <c r="AP186" i="1"/>
  <c r="AM186" i="1"/>
  <c r="AL186" i="1"/>
  <c r="AK186" i="1"/>
  <c r="AB186" i="1"/>
  <c r="AA186" i="1"/>
  <c r="V186" i="1"/>
  <c r="U186" i="1" s="1"/>
  <c r="R186" i="1"/>
  <c r="F186" i="1"/>
  <c r="AR658" i="1"/>
  <c r="AQ658" i="1"/>
  <c r="AP658" i="1"/>
  <c r="AO658" i="1"/>
  <c r="AM658" i="1"/>
  <c r="AL658" i="1"/>
  <c r="AK658" i="1"/>
  <c r="AJ658" i="1"/>
  <c r="AF658" i="1"/>
  <c r="AB658" i="1"/>
  <c r="AA658" i="1"/>
  <c r="V658" i="1"/>
  <c r="U658" i="1" s="1"/>
  <c r="Q658" i="1"/>
  <c r="F658" i="1"/>
  <c r="G658" i="1" s="1"/>
  <c r="AQ133" i="1"/>
  <c r="AP133" i="1"/>
  <c r="AO133" i="1"/>
  <c r="AL133" i="1"/>
  <c r="AK133" i="1"/>
  <c r="AJ133" i="1"/>
  <c r="AB133" i="1"/>
  <c r="V133" i="1"/>
  <c r="U133" i="1" s="1"/>
  <c r="Q133" i="1"/>
  <c r="F133" i="1"/>
  <c r="G133" i="1" s="1"/>
  <c r="AF133" i="1" s="1"/>
  <c r="R215" i="1" l="1"/>
  <c r="AM217" i="1"/>
  <c r="AR217" i="1"/>
  <c r="R217" i="1"/>
  <c r="AA217" i="1" s="1"/>
  <c r="R221" i="1"/>
  <c r="Y221" i="1" s="1"/>
  <c r="Y139" i="1"/>
  <c r="AA139" i="1"/>
  <c r="Y169" i="1"/>
  <c r="AA169" i="1"/>
  <c r="Y151" i="1"/>
  <c r="AA151" i="1"/>
  <c r="Y136" i="1"/>
  <c r="AA136" i="1"/>
  <c r="Y131" i="1"/>
  <c r="AA131" i="1"/>
  <c r="Y218" i="1"/>
  <c r="Y222" i="1"/>
  <c r="R133" i="1"/>
  <c r="AA133" i="1" s="1"/>
  <c r="Y194" i="1"/>
  <c r="Y213" i="1"/>
  <c r="AH194" i="1"/>
  <c r="AG194" i="1" s="1"/>
  <c r="AD217" i="1"/>
  <c r="AH217" i="1" s="1"/>
  <c r="AG217" i="1" s="1"/>
  <c r="Y223" i="1"/>
  <c r="Y200" i="1"/>
  <c r="Y210" i="1"/>
  <c r="Y207" i="1"/>
  <c r="AD223" i="1"/>
  <c r="AH223" i="1" s="1"/>
  <c r="AG223" i="1" s="1"/>
  <c r="AO192" i="1"/>
  <c r="AD658" i="1"/>
  <c r="AH658" i="1" s="1"/>
  <c r="AG658" i="1" s="1"/>
  <c r="R192" i="1"/>
  <c r="AD192" i="1"/>
  <c r="AH192" i="1" s="1"/>
  <c r="AG192" i="1" s="1"/>
  <c r="Y186" i="1"/>
  <c r="AB224" i="1"/>
  <c r="AC224" i="1" s="1"/>
  <c r="AD215" i="1"/>
  <c r="AH215" i="1" s="1"/>
  <c r="AG215" i="1" s="1"/>
  <c r="E224" i="1"/>
  <c r="AR222" i="1"/>
  <c r="AM222" i="1"/>
  <c r="AD222" i="1"/>
  <c r="AH222" i="1" s="1"/>
  <c r="AG222" i="1" s="1"/>
  <c r="AO186" i="1"/>
  <c r="AD186" i="1"/>
  <c r="AJ186" i="1"/>
  <c r="AD210" i="1"/>
  <c r="AH210" i="1" s="1"/>
  <c r="AG210" i="1" s="1"/>
  <c r="AP210" i="1"/>
  <c r="AK210" i="1"/>
  <c r="AD200" i="1"/>
  <c r="AH200" i="1" s="1"/>
  <c r="AG200" i="1" s="1"/>
  <c r="AO207" i="1"/>
  <c r="AD207" i="1"/>
  <c r="AH207" i="1" s="1"/>
  <c r="AG207" i="1" s="1"/>
  <c r="AJ207" i="1"/>
  <c r="AK215" i="1"/>
  <c r="AP213" i="1"/>
  <c r="AD213" i="1"/>
  <c r="AH213" i="1" s="1"/>
  <c r="AG213" i="1" s="1"/>
  <c r="AD218" i="1"/>
  <c r="AH218" i="1" s="1"/>
  <c r="AG218" i="1" s="1"/>
  <c r="AM218" i="1"/>
  <c r="AQ221" i="1"/>
  <c r="AP215" i="1"/>
  <c r="AD221" i="1"/>
  <c r="AH221" i="1" s="1"/>
  <c r="AG221" i="1" s="1"/>
  <c r="G186" i="1"/>
  <c r="AF186" i="1" s="1"/>
  <c r="AF224" i="1" s="1"/>
  <c r="I224" i="1"/>
  <c r="AM133" i="1"/>
  <c r="AR133" i="1"/>
  <c r="Y658" i="1"/>
  <c r="AD133" i="1"/>
  <c r="AH133" i="1" s="1"/>
  <c r="AG133" i="1" s="1"/>
  <c r="AR127" i="1"/>
  <c r="AP127" i="1"/>
  <c r="AO127" i="1"/>
  <c r="AM127" i="1"/>
  <c r="AK127" i="1"/>
  <c r="AJ127" i="1"/>
  <c r="AB127" i="1"/>
  <c r="V127" i="1"/>
  <c r="U127" i="1" s="1"/>
  <c r="Q127" i="1"/>
  <c r="F127" i="1"/>
  <c r="G127" i="1" s="1"/>
  <c r="AF127" i="1" s="1"/>
  <c r="F279" i="1" l="1"/>
  <c r="Y215" i="1"/>
  <c r="AA215" i="1"/>
  <c r="K224" i="1"/>
  <c r="Y217" i="1"/>
  <c r="AR224" i="1"/>
  <c r="AK224" i="1"/>
  <c r="Y133" i="1"/>
  <c r="AD127" i="1"/>
  <c r="AH127" i="1" s="1"/>
  <c r="AG127" i="1" s="1"/>
  <c r="AM224" i="1"/>
  <c r="Y192" i="1"/>
  <c r="AA192" i="1"/>
  <c r="R127" i="1"/>
  <c r="Y127" i="1" s="1"/>
  <c r="AQ224" i="1"/>
  <c r="AP224" i="1"/>
  <c r="AL224" i="1"/>
  <c r="AO224" i="1"/>
  <c r="AJ224" i="1"/>
  <c r="AJ225" i="1" s="1"/>
  <c r="AA200" i="1"/>
  <c r="AA210" i="1"/>
  <c r="AH186" i="1"/>
  <c r="AL127" i="1"/>
  <c r="AQ127" i="1"/>
  <c r="AR149" i="1"/>
  <c r="AQ149" i="1"/>
  <c r="AP149" i="1"/>
  <c r="AM149" i="1"/>
  <c r="AL149" i="1"/>
  <c r="AK149" i="1"/>
  <c r="AB149" i="1"/>
  <c r="V149" i="1"/>
  <c r="U149" i="1" s="1"/>
  <c r="AO149" i="1" s="1"/>
  <c r="Q149" i="1"/>
  <c r="F149" i="1"/>
  <c r="G149" i="1" s="1"/>
  <c r="AF149" i="1" s="1"/>
  <c r="AQ134" i="1"/>
  <c r="AP134" i="1"/>
  <c r="AO134" i="1"/>
  <c r="AL134" i="1"/>
  <c r="AK134" i="1"/>
  <c r="AJ134" i="1"/>
  <c r="AB134" i="1"/>
  <c r="V134" i="1"/>
  <c r="U134" i="1" s="1"/>
  <c r="AR134" i="1" s="1"/>
  <c r="Q134" i="1"/>
  <c r="F134" i="1"/>
  <c r="G134" i="1" s="1"/>
  <c r="AF134" i="1" s="1"/>
  <c r="AK225" i="1" l="1"/>
  <c r="AP634" i="1"/>
  <c r="AP225" i="1"/>
  <c r="G279" i="1"/>
  <c r="AF279" i="1" s="1"/>
  <c r="E317" i="1"/>
  <c r="I317" i="1"/>
  <c r="AL225" i="1"/>
  <c r="AO634" i="1"/>
  <c r="AO225" i="1"/>
  <c r="AM225" i="1"/>
  <c r="AQ634" i="1"/>
  <c r="AQ225" i="1"/>
  <c r="AR634" i="1"/>
  <c r="AR225" i="1"/>
  <c r="AJ149" i="1"/>
  <c r="AA127" i="1"/>
  <c r="AS224" i="1"/>
  <c r="AN224" i="1"/>
  <c r="AG186" i="1"/>
  <c r="AG224" i="1" s="1"/>
  <c r="N224" i="1" s="1"/>
  <c r="AH224" i="1"/>
  <c r="AI224" i="1" s="1"/>
  <c r="AA224" i="1"/>
  <c r="AM134" i="1"/>
  <c r="R149" i="1"/>
  <c r="AD149" i="1"/>
  <c r="AH149" i="1" s="1"/>
  <c r="AG149" i="1" s="1"/>
  <c r="R134" i="1"/>
  <c r="AD134" i="1"/>
  <c r="AH134" i="1" s="1"/>
  <c r="AG134" i="1" s="1"/>
  <c r="AP135" i="1"/>
  <c r="AO135" i="1"/>
  <c r="AK135" i="1"/>
  <c r="AJ135" i="1"/>
  <c r="AB135" i="1"/>
  <c r="V135" i="1"/>
  <c r="U135" i="1" s="1"/>
  <c r="AR135" i="1" s="1"/>
  <c r="Q135" i="1"/>
  <c r="F135" i="1"/>
  <c r="G135" i="1" s="1"/>
  <c r="AF135" i="1" s="1"/>
  <c r="AQ140" i="1"/>
  <c r="AP140" i="1"/>
  <c r="AO140" i="1"/>
  <c r="AL140" i="1"/>
  <c r="AK140" i="1"/>
  <c r="AJ140" i="1"/>
  <c r="AB140" i="1"/>
  <c r="V140" i="1"/>
  <c r="U140" i="1" s="1"/>
  <c r="AR140" i="1" s="1"/>
  <c r="Q140" i="1"/>
  <c r="F140" i="1"/>
  <c r="G140" i="1" s="1"/>
  <c r="AF140" i="1" s="1"/>
  <c r="F141" i="1"/>
  <c r="G141" i="1" s="1"/>
  <c r="AF141" i="1" s="1"/>
  <c r="Q141" i="1"/>
  <c r="R141" i="1"/>
  <c r="V141" i="1"/>
  <c r="U141" i="1" s="1"/>
  <c r="AA141" i="1"/>
  <c r="AB141" i="1"/>
  <c r="AJ141" i="1"/>
  <c r="AK141" i="1"/>
  <c r="AL141" i="1"/>
  <c r="AM141" i="1"/>
  <c r="AO141" i="1"/>
  <c r="AP141" i="1"/>
  <c r="AQ141" i="1"/>
  <c r="AR141" i="1"/>
  <c r="B366" i="1" l="1"/>
  <c r="AF317" i="1"/>
  <c r="AH279" i="1"/>
  <c r="AN225" i="1"/>
  <c r="K317" i="1"/>
  <c r="AN634" i="1"/>
  <c r="AS634" i="1"/>
  <c r="AS225" i="1"/>
  <c r="AM140" i="1"/>
  <c r="R140" i="1"/>
  <c r="AA140" i="1" s="1"/>
  <c r="Y134" i="1"/>
  <c r="AA134" i="1"/>
  <c r="R224" i="1"/>
  <c r="Z224" i="1"/>
  <c r="Y149" i="1"/>
  <c r="AA149" i="1"/>
  <c r="AD141" i="1"/>
  <c r="AH141" i="1" s="1"/>
  <c r="AG141" i="1" s="1"/>
  <c r="AM135" i="1"/>
  <c r="AQ135" i="1"/>
  <c r="AL135" i="1"/>
  <c r="R135" i="1"/>
  <c r="AD135" i="1"/>
  <c r="AH135" i="1" s="1"/>
  <c r="AG135" i="1" s="1"/>
  <c r="Y141" i="1"/>
  <c r="AD140" i="1"/>
  <c r="AH140" i="1" s="1"/>
  <c r="AG140" i="1" s="1"/>
  <c r="AP176" i="1"/>
  <c r="AO176" i="1"/>
  <c r="AK176" i="1"/>
  <c r="AJ176" i="1"/>
  <c r="AB176" i="1"/>
  <c r="AA176" i="1"/>
  <c r="V176" i="1"/>
  <c r="U176" i="1" s="1"/>
  <c r="AM176" i="1" s="1"/>
  <c r="Q176" i="1"/>
  <c r="F176" i="1"/>
  <c r="G176" i="1" s="1"/>
  <c r="AF176" i="1" s="1"/>
  <c r="AP168" i="1"/>
  <c r="AO168" i="1"/>
  <c r="AK168" i="1"/>
  <c r="AJ168" i="1"/>
  <c r="AB168" i="1"/>
  <c r="AA168" i="1"/>
  <c r="V168" i="1"/>
  <c r="U168" i="1" s="1"/>
  <c r="AL168" i="1" s="1"/>
  <c r="R168" i="1"/>
  <c r="Q168" i="1"/>
  <c r="F168" i="1"/>
  <c r="G168" i="1" s="1"/>
  <c r="AF168" i="1" s="1"/>
  <c r="AP166" i="1"/>
  <c r="AO166" i="1"/>
  <c r="AK166" i="1"/>
  <c r="AJ166" i="1"/>
  <c r="AB166" i="1"/>
  <c r="V166" i="1"/>
  <c r="U166" i="1" s="1"/>
  <c r="AQ166" i="1" s="1"/>
  <c r="Q166" i="1"/>
  <c r="F166" i="1"/>
  <c r="G166" i="1" s="1"/>
  <c r="AF166" i="1" s="1"/>
  <c r="AP171" i="1"/>
  <c r="AO171" i="1"/>
  <c r="AK171" i="1"/>
  <c r="AJ171" i="1"/>
  <c r="AB171" i="1"/>
  <c r="AA171" i="1"/>
  <c r="V171" i="1"/>
  <c r="U171" i="1" s="1"/>
  <c r="AQ171" i="1" s="1"/>
  <c r="R171" i="1"/>
  <c r="Q171" i="1"/>
  <c r="F171" i="1"/>
  <c r="G171" i="1" s="1"/>
  <c r="AF171" i="1" s="1"/>
  <c r="AQ173" i="1"/>
  <c r="AP173" i="1"/>
  <c r="AO173" i="1"/>
  <c r="AL173" i="1"/>
  <c r="AK173" i="1"/>
  <c r="AJ173" i="1"/>
  <c r="AB173" i="1"/>
  <c r="AA173" i="1"/>
  <c r="V173" i="1"/>
  <c r="U173" i="1" s="1"/>
  <c r="R173" i="1"/>
  <c r="Q173" i="1"/>
  <c r="F173" i="1"/>
  <c r="G173" i="1" s="1"/>
  <c r="AF173" i="1" s="1"/>
  <c r="F183" i="1"/>
  <c r="G183" i="1" s="1"/>
  <c r="AF183" i="1" s="1"/>
  <c r="Q183" i="1"/>
  <c r="R183" i="1" s="1"/>
  <c r="V183" i="1"/>
  <c r="U183" i="1" s="1"/>
  <c r="AL183" i="1" s="1"/>
  <c r="AB183" i="1"/>
  <c r="AJ183" i="1"/>
  <c r="AK183" i="1"/>
  <c r="AM183" i="1"/>
  <c r="AO183" i="1"/>
  <c r="AP183" i="1"/>
  <c r="AR183" i="1"/>
  <c r="AQ182" i="1"/>
  <c r="AP182" i="1"/>
  <c r="AO182" i="1"/>
  <c r="AL182" i="1"/>
  <c r="AK182" i="1"/>
  <c r="AJ182" i="1"/>
  <c r="AB182" i="1"/>
  <c r="AA182" i="1"/>
  <c r="V182" i="1"/>
  <c r="U182" i="1" s="1"/>
  <c r="AR182" i="1" s="1"/>
  <c r="R182" i="1"/>
  <c r="Q182" i="1"/>
  <c r="F182" i="1"/>
  <c r="G182" i="1" s="1"/>
  <c r="AF182" i="1" s="1"/>
  <c r="AG279" i="1" l="1"/>
  <c r="AG317" i="1" s="1"/>
  <c r="N317" i="1" s="1"/>
  <c r="AH317" i="1"/>
  <c r="AI317" i="1" s="1"/>
  <c r="R176" i="1"/>
  <c r="Y176" i="1" s="1"/>
  <c r="Y140" i="1"/>
  <c r="R166" i="1"/>
  <c r="AA166" i="1" s="1"/>
  <c r="AR176" i="1"/>
  <c r="AL166" i="1"/>
  <c r="Y168" i="1"/>
  <c r="Y135" i="1"/>
  <c r="AA135" i="1"/>
  <c r="Y182" i="1"/>
  <c r="AQ168" i="1"/>
  <c r="Y173" i="1"/>
  <c r="Y171" i="1"/>
  <c r="AL171" i="1"/>
  <c r="AM182" i="1"/>
  <c r="AQ176" i="1"/>
  <c r="AL176" i="1"/>
  <c r="AD176" i="1"/>
  <c r="AH176" i="1" s="1"/>
  <c r="AG176" i="1" s="1"/>
  <c r="AR168" i="1"/>
  <c r="AM168" i="1"/>
  <c r="AD168" i="1"/>
  <c r="AH168" i="1" s="1"/>
  <c r="AG168" i="1" s="1"/>
  <c r="AR166" i="1"/>
  <c r="AM166" i="1"/>
  <c r="AD166" i="1"/>
  <c r="AH166" i="1" s="1"/>
  <c r="AG166" i="1" s="1"/>
  <c r="AR171" i="1"/>
  <c r="AM171" i="1"/>
  <c r="AD171" i="1"/>
  <c r="AH171" i="1" s="1"/>
  <c r="AG171" i="1" s="1"/>
  <c r="AR173" i="1"/>
  <c r="AM173" i="1"/>
  <c r="AD173" i="1"/>
  <c r="AH173" i="1" s="1"/>
  <c r="AG173" i="1" s="1"/>
  <c r="AD182" i="1"/>
  <c r="AH182" i="1" s="1"/>
  <c r="AG182" i="1" s="1"/>
  <c r="AA183" i="1"/>
  <c r="Y183" i="1"/>
  <c r="AD183" i="1"/>
  <c r="AH183" i="1" s="1"/>
  <c r="AG183" i="1" s="1"/>
  <c r="AQ183" i="1"/>
  <c r="AR123" i="1"/>
  <c r="AQ123" i="1"/>
  <c r="AO123" i="1"/>
  <c r="AM123" i="1"/>
  <c r="AL123" i="1"/>
  <c r="AJ123" i="1"/>
  <c r="AB123" i="1"/>
  <c r="AA123" i="1"/>
  <c r="V123" i="1"/>
  <c r="U123" i="1" s="1"/>
  <c r="AP123" i="1" s="1"/>
  <c r="Q123" i="1"/>
  <c r="F123" i="1"/>
  <c r="G123" i="1" s="1"/>
  <c r="AF123" i="1" s="1"/>
  <c r="Y166" i="1" l="1"/>
  <c r="AK123" i="1"/>
  <c r="AD123" i="1"/>
  <c r="AH123" i="1" s="1"/>
  <c r="AG123" i="1" s="1"/>
  <c r="R123" i="1"/>
  <c r="Y123" i="1" s="1"/>
  <c r="AR129" i="1"/>
  <c r="AP129" i="1"/>
  <c r="AO129" i="1"/>
  <c r="AM129" i="1"/>
  <c r="AK129" i="1"/>
  <c r="AJ129" i="1"/>
  <c r="AB129" i="1"/>
  <c r="V129" i="1"/>
  <c r="U129" i="1" s="1"/>
  <c r="AQ129" i="1" s="1"/>
  <c r="Q129" i="1"/>
  <c r="F129" i="1"/>
  <c r="G129" i="1" s="1"/>
  <c r="AF129" i="1" s="1"/>
  <c r="AQ101" i="1"/>
  <c r="AP101" i="1"/>
  <c r="AO101" i="1"/>
  <c r="AL101" i="1"/>
  <c r="AK101" i="1"/>
  <c r="AJ101" i="1"/>
  <c r="AB101" i="1"/>
  <c r="V101" i="1"/>
  <c r="U101" i="1" s="1"/>
  <c r="Q101" i="1"/>
  <c r="F101" i="1"/>
  <c r="G101" i="1" s="1"/>
  <c r="AF101" i="1" s="1"/>
  <c r="AL129" i="1" l="1"/>
  <c r="R129" i="1"/>
  <c r="AD129" i="1"/>
  <c r="AH129" i="1" s="1"/>
  <c r="AG129" i="1" s="1"/>
  <c r="AM101" i="1"/>
  <c r="AR101" i="1"/>
  <c r="R101" i="1"/>
  <c r="AD101" i="1"/>
  <c r="AH101" i="1" s="1"/>
  <c r="AG101" i="1" s="1"/>
  <c r="AR125" i="1"/>
  <c r="AP125" i="1"/>
  <c r="AO125" i="1"/>
  <c r="AM125" i="1"/>
  <c r="AK125" i="1"/>
  <c r="AJ125" i="1"/>
  <c r="AB125" i="1"/>
  <c r="AA125" i="1"/>
  <c r="V125" i="1"/>
  <c r="U125" i="1" s="1"/>
  <c r="Q125" i="1"/>
  <c r="F125" i="1"/>
  <c r="G125" i="1" s="1"/>
  <c r="AF125" i="1" s="1"/>
  <c r="AR124" i="1"/>
  <c r="AP124" i="1"/>
  <c r="AO124" i="1"/>
  <c r="AM124" i="1"/>
  <c r="AK124" i="1"/>
  <c r="AJ124" i="1"/>
  <c r="AB124" i="1"/>
  <c r="V124" i="1"/>
  <c r="U124" i="1" s="1"/>
  <c r="Q124" i="1"/>
  <c r="F124" i="1"/>
  <c r="G124" i="1" s="1"/>
  <c r="AF124" i="1" s="1"/>
  <c r="AR128" i="1"/>
  <c r="AP128" i="1"/>
  <c r="AO128" i="1"/>
  <c r="AM128" i="1"/>
  <c r="AK128" i="1"/>
  <c r="AJ128" i="1"/>
  <c r="AB128" i="1"/>
  <c r="V128" i="1"/>
  <c r="U128" i="1" s="1"/>
  <c r="Q128" i="1"/>
  <c r="F128" i="1"/>
  <c r="G128" i="1" s="1"/>
  <c r="AF128" i="1" s="1"/>
  <c r="AD125" i="1" l="1"/>
  <c r="AH125" i="1" s="1"/>
  <c r="AG125" i="1" s="1"/>
  <c r="AL125" i="1"/>
  <c r="AQ125" i="1"/>
  <c r="R124" i="1"/>
  <c r="Y129" i="1"/>
  <c r="AA129" i="1"/>
  <c r="Y101" i="1"/>
  <c r="AA101" i="1"/>
  <c r="AQ124" i="1"/>
  <c r="AL124" i="1"/>
  <c r="R128" i="1"/>
  <c r="Y128" i="1" s="1"/>
  <c r="AL128" i="1"/>
  <c r="AQ128" i="1"/>
  <c r="R125" i="1"/>
  <c r="Y125" i="1" s="1"/>
  <c r="AD124" i="1"/>
  <c r="AH124" i="1" s="1"/>
  <c r="AG124" i="1" s="1"/>
  <c r="AD128" i="1"/>
  <c r="AH128" i="1" s="1"/>
  <c r="AG128" i="1" s="1"/>
  <c r="AA128" i="1" l="1"/>
  <c r="Y124" i="1"/>
  <c r="AA124" i="1"/>
  <c r="AR161" i="1" l="1"/>
  <c r="AQ161" i="1"/>
  <c r="AO161" i="1"/>
  <c r="AM161" i="1"/>
  <c r="AL161" i="1"/>
  <c r="AJ161" i="1"/>
  <c r="AB161" i="1"/>
  <c r="AA161" i="1"/>
  <c r="V161" i="1"/>
  <c r="U161" i="1" s="1"/>
  <c r="AP161" i="1" s="1"/>
  <c r="R161" i="1"/>
  <c r="Q161" i="1"/>
  <c r="F161" i="1"/>
  <c r="G161" i="1" s="1"/>
  <c r="AF161" i="1" s="1"/>
  <c r="AK161" i="1" l="1"/>
  <c r="AD161" i="1"/>
  <c r="AH161" i="1" s="1"/>
  <c r="AG161" i="1" s="1"/>
  <c r="Y161" i="1"/>
  <c r="AR103" i="1" l="1"/>
  <c r="AQ103" i="1"/>
  <c r="AP103" i="1"/>
  <c r="AO103" i="1"/>
  <c r="AM103" i="1"/>
  <c r="AL103" i="1"/>
  <c r="AK103" i="1"/>
  <c r="AJ103" i="1"/>
  <c r="AB103" i="1"/>
  <c r="AA103" i="1"/>
  <c r="V103" i="1"/>
  <c r="U103" i="1" s="1"/>
  <c r="R103" i="1"/>
  <c r="Q103" i="1"/>
  <c r="F103" i="1"/>
  <c r="G103" i="1" s="1"/>
  <c r="AF103" i="1" s="1"/>
  <c r="AD103" i="1" l="1"/>
  <c r="AH103" i="1" s="1"/>
  <c r="AG103" i="1" s="1"/>
  <c r="Y103" i="1"/>
  <c r="AR157" i="1"/>
  <c r="AQ157" i="1"/>
  <c r="AO157" i="1"/>
  <c r="AM157" i="1"/>
  <c r="AL157" i="1"/>
  <c r="AJ157" i="1"/>
  <c r="AR152" i="1"/>
  <c r="AQ152" i="1"/>
  <c r="AO152" i="1"/>
  <c r="AM152" i="1"/>
  <c r="AL152" i="1"/>
  <c r="AJ152" i="1"/>
  <c r="AR148" i="1"/>
  <c r="AQ148" i="1"/>
  <c r="AM148" i="1"/>
  <c r="AL148" i="1"/>
  <c r="AR150" i="1"/>
  <c r="AQ150" i="1"/>
  <c r="AP150" i="1"/>
  <c r="AM150" i="1"/>
  <c r="AL150" i="1"/>
  <c r="AK150" i="1"/>
  <c r="AR145" i="1"/>
  <c r="AQ145" i="1"/>
  <c r="AP145" i="1"/>
  <c r="AO145" i="1"/>
  <c r="AM145" i="1"/>
  <c r="AL145" i="1"/>
  <c r="AK145" i="1"/>
  <c r="AJ145" i="1"/>
  <c r="AR144" i="1"/>
  <c r="AQ144" i="1"/>
  <c r="AP144" i="1"/>
  <c r="AM144" i="1"/>
  <c r="AL144" i="1"/>
  <c r="AK144" i="1"/>
  <c r="AR137" i="1"/>
  <c r="AQ137" i="1"/>
  <c r="AP137" i="1"/>
  <c r="AO137" i="1"/>
  <c r="AM137" i="1"/>
  <c r="AL137" i="1"/>
  <c r="AK137" i="1"/>
  <c r="AJ137" i="1"/>
  <c r="AR132" i="1"/>
  <c r="AQ132" i="1"/>
  <c r="AP132" i="1"/>
  <c r="AO132" i="1"/>
  <c r="AM132" i="1"/>
  <c r="AL132" i="1"/>
  <c r="AK132" i="1"/>
  <c r="AJ132" i="1"/>
  <c r="AR126" i="1"/>
  <c r="AQ126" i="1"/>
  <c r="AP126" i="1"/>
  <c r="AO126" i="1"/>
  <c r="AM126" i="1"/>
  <c r="AL126" i="1"/>
  <c r="AK126" i="1"/>
  <c r="AJ126" i="1"/>
  <c r="AR122" i="1"/>
  <c r="AO122" i="1"/>
  <c r="AM122" i="1"/>
  <c r="AJ122" i="1"/>
  <c r="AR121" i="1"/>
  <c r="AQ121" i="1"/>
  <c r="AP121" i="1"/>
  <c r="AO121" i="1"/>
  <c r="AM121" i="1"/>
  <c r="AL121" i="1"/>
  <c r="AK121" i="1"/>
  <c r="AJ121" i="1"/>
  <c r="AR120" i="1"/>
  <c r="AQ120" i="1"/>
  <c r="AO120" i="1"/>
  <c r="AM120" i="1"/>
  <c r="AL120" i="1"/>
  <c r="AJ120" i="1"/>
  <c r="AR119" i="1"/>
  <c r="AQ119" i="1"/>
  <c r="AO119" i="1"/>
  <c r="AM119" i="1"/>
  <c r="AL119" i="1"/>
  <c r="AJ119" i="1"/>
  <c r="AR118" i="1"/>
  <c r="AQ118" i="1"/>
  <c r="AO118" i="1"/>
  <c r="AM118" i="1"/>
  <c r="AL118" i="1"/>
  <c r="AJ118" i="1"/>
  <c r="AR117" i="1"/>
  <c r="AQ117" i="1"/>
  <c r="AP117" i="1"/>
  <c r="AO117" i="1"/>
  <c r="AM117" i="1"/>
  <c r="AL117" i="1"/>
  <c r="AK117" i="1"/>
  <c r="AJ117" i="1"/>
  <c r="AR116" i="1"/>
  <c r="AQ116" i="1"/>
  <c r="AM116" i="1"/>
  <c r="AL116" i="1"/>
  <c r="AR115" i="1"/>
  <c r="AQ115" i="1"/>
  <c r="AP115" i="1"/>
  <c r="AO115" i="1"/>
  <c r="AM115" i="1"/>
  <c r="AL115" i="1"/>
  <c r="AK115" i="1"/>
  <c r="AJ115" i="1"/>
  <c r="AR114" i="1"/>
  <c r="AQ114" i="1"/>
  <c r="AP114" i="1"/>
  <c r="AO114" i="1"/>
  <c r="AM114" i="1"/>
  <c r="AL114" i="1"/>
  <c r="AK114" i="1"/>
  <c r="AJ114" i="1"/>
  <c r="AR113" i="1"/>
  <c r="AQ113" i="1"/>
  <c r="AP113" i="1"/>
  <c r="AM113" i="1"/>
  <c r="AL113" i="1"/>
  <c r="AK113" i="1"/>
  <c r="AR112" i="1"/>
  <c r="AQ112" i="1"/>
  <c r="AP112" i="1"/>
  <c r="AM112" i="1"/>
  <c r="AL112" i="1"/>
  <c r="AK112" i="1"/>
  <c r="AR111" i="1"/>
  <c r="AQ111" i="1"/>
  <c r="AP111" i="1"/>
  <c r="AO111" i="1"/>
  <c r="AM111" i="1"/>
  <c r="AL111" i="1"/>
  <c r="AK111" i="1"/>
  <c r="AJ111" i="1"/>
  <c r="AR110" i="1"/>
  <c r="AQ110" i="1"/>
  <c r="AP110" i="1"/>
  <c r="AO110" i="1"/>
  <c r="AM110" i="1"/>
  <c r="AL110" i="1"/>
  <c r="AK110" i="1"/>
  <c r="AJ110" i="1"/>
  <c r="AR650" i="1" l="1"/>
  <c r="AQ650" i="1"/>
  <c r="AP650" i="1"/>
  <c r="AO650" i="1"/>
  <c r="AM650" i="1"/>
  <c r="AL650" i="1"/>
  <c r="AK650" i="1"/>
  <c r="AJ650" i="1"/>
  <c r="AB118" i="1" l="1"/>
  <c r="V118" i="1"/>
  <c r="U118" i="1" s="1"/>
  <c r="Q118" i="1"/>
  <c r="F118" i="1"/>
  <c r="G118" i="1" s="1"/>
  <c r="AF118" i="1" s="1"/>
  <c r="AR93" i="1"/>
  <c r="AQ93" i="1"/>
  <c r="AP93" i="1"/>
  <c r="AO93" i="1"/>
  <c r="AM93" i="1"/>
  <c r="AL93" i="1"/>
  <c r="AK93" i="1"/>
  <c r="AJ93" i="1"/>
  <c r="AB93" i="1"/>
  <c r="AA93" i="1"/>
  <c r="V93" i="1"/>
  <c r="U93" i="1" s="1"/>
  <c r="R93" i="1"/>
  <c r="Q93" i="1"/>
  <c r="F93" i="1"/>
  <c r="G93" i="1" s="1"/>
  <c r="AF93" i="1" s="1"/>
  <c r="AP118" i="1" l="1"/>
  <c r="AK118" i="1"/>
  <c r="R118" i="1"/>
  <c r="AD118" i="1"/>
  <c r="AH118" i="1" s="1"/>
  <c r="AG118" i="1" s="1"/>
  <c r="Y93" i="1"/>
  <c r="AD93" i="1"/>
  <c r="AH93" i="1" s="1"/>
  <c r="AG93" i="1" s="1"/>
  <c r="V95" i="1"/>
  <c r="U95" i="1" s="1"/>
  <c r="AR99" i="1"/>
  <c r="AQ99" i="1"/>
  <c r="AP99" i="1"/>
  <c r="AO99" i="1"/>
  <c r="AM99" i="1"/>
  <c r="AL99" i="1"/>
  <c r="AK99" i="1"/>
  <c r="AJ99" i="1"/>
  <c r="AB99" i="1"/>
  <c r="AA99" i="1"/>
  <c r="V99" i="1"/>
  <c r="U99" i="1" s="1"/>
  <c r="R99" i="1"/>
  <c r="Q99" i="1"/>
  <c r="F99" i="1"/>
  <c r="G99" i="1" s="1"/>
  <c r="AF99" i="1" s="1"/>
  <c r="Y118" i="1" l="1"/>
  <c r="AA118" i="1"/>
  <c r="Y99" i="1"/>
  <c r="AD99" i="1"/>
  <c r="AH99" i="1" s="1"/>
  <c r="AG99" i="1" s="1"/>
  <c r="AB148" i="1"/>
  <c r="V148" i="1"/>
  <c r="U148" i="1" s="1"/>
  <c r="F148" i="1"/>
  <c r="G148" i="1" s="1"/>
  <c r="AF148" i="1" s="1"/>
  <c r="AO148" i="1" l="1"/>
  <c r="AJ148" i="1"/>
  <c r="AD148" i="1"/>
  <c r="AH148" i="1" s="1"/>
  <c r="AG148" i="1" s="1"/>
  <c r="AK148" i="1"/>
  <c r="AP148" i="1"/>
  <c r="R148" i="1"/>
  <c r="Y148" i="1" l="1"/>
  <c r="AA148" i="1"/>
  <c r="AB119" i="1"/>
  <c r="V119" i="1"/>
  <c r="U119" i="1" s="1"/>
  <c r="Q119" i="1"/>
  <c r="F119" i="1"/>
  <c r="G119" i="1" s="1"/>
  <c r="AF119" i="1" s="1"/>
  <c r="F137" i="1"/>
  <c r="G137" i="1" s="1"/>
  <c r="F132" i="1"/>
  <c r="G132" i="1" s="1"/>
  <c r="AP119" i="1" l="1"/>
  <c r="AK119" i="1"/>
  <c r="R119" i="1"/>
  <c r="AD119" i="1"/>
  <c r="AH119" i="1" s="1"/>
  <c r="AG119" i="1" s="1"/>
  <c r="F121" i="1"/>
  <c r="G121" i="1" s="1"/>
  <c r="Q152" i="1"/>
  <c r="Y119" i="1" l="1"/>
  <c r="AA119" i="1"/>
  <c r="AR104" i="1"/>
  <c r="AQ104" i="1"/>
  <c r="AP104" i="1"/>
  <c r="AO104" i="1"/>
  <c r="AM104" i="1"/>
  <c r="AL104" i="1"/>
  <c r="AK104" i="1"/>
  <c r="AJ104" i="1"/>
  <c r="AB104" i="1"/>
  <c r="AA104" i="1"/>
  <c r="V104" i="1"/>
  <c r="U104" i="1" s="1"/>
  <c r="Q104" i="1"/>
  <c r="F104" i="1"/>
  <c r="G104" i="1" s="1"/>
  <c r="AF104" i="1" s="1"/>
  <c r="P112" i="1"/>
  <c r="AR105" i="1"/>
  <c r="AQ105" i="1"/>
  <c r="AP105" i="1"/>
  <c r="AO105" i="1"/>
  <c r="AM105" i="1"/>
  <c r="AL105" i="1"/>
  <c r="AK105" i="1"/>
  <c r="AJ105" i="1"/>
  <c r="AB105" i="1"/>
  <c r="V105" i="1"/>
  <c r="U105" i="1" s="1"/>
  <c r="Q105" i="1"/>
  <c r="F105" i="1"/>
  <c r="G105" i="1" s="1"/>
  <c r="AF105" i="1" s="1"/>
  <c r="AA95" i="1"/>
  <c r="AJ95" i="1"/>
  <c r="AK95" i="1"/>
  <c r="AL95" i="1"/>
  <c r="AM95" i="1"/>
  <c r="AO95" i="1"/>
  <c r="AP95" i="1"/>
  <c r="AQ95" i="1"/>
  <c r="AR95" i="1"/>
  <c r="F95" i="1"/>
  <c r="G95" i="1" s="1"/>
  <c r="AF95" i="1" s="1"/>
  <c r="AB95" i="1"/>
  <c r="AR97" i="1"/>
  <c r="AQ97" i="1"/>
  <c r="AP97" i="1"/>
  <c r="AO97" i="1"/>
  <c r="AM97" i="1"/>
  <c r="AL97" i="1"/>
  <c r="AK97" i="1"/>
  <c r="AJ97" i="1"/>
  <c r="AB97" i="1"/>
  <c r="V97" i="1"/>
  <c r="U97" i="1" s="1"/>
  <c r="Q97" i="1"/>
  <c r="F97" i="1"/>
  <c r="G97" i="1" s="1"/>
  <c r="AF97" i="1" s="1"/>
  <c r="F145" i="1"/>
  <c r="G145" i="1" s="1"/>
  <c r="AF145" i="1" s="1"/>
  <c r="AB157" i="1"/>
  <c r="AA157" i="1"/>
  <c r="V157" i="1"/>
  <c r="U157" i="1" s="1"/>
  <c r="R157" i="1"/>
  <c r="Q157" i="1"/>
  <c r="F157" i="1"/>
  <c r="G157" i="1" s="1"/>
  <c r="AF157" i="1" s="1"/>
  <c r="AB152" i="1"/>
  <c r="V152" i="1"/>
  <c r="U152" i="1" s="1"/>
  <c r="F152" i="1"/>
  <c r="G152" i="1" s="1"/>
  <c r="AF152" i="1" s="1"/>
  <c r="AB150" i="1"/>
  <c r="AA150" i="1"/>
  <c r="V150" i="1"/>
  <c r="U150" i="1" s="1"/>
  <c r="R150" i="1"/>
  <c r="Q150" i="1"/>
  <c r="F150" i="1"/>
  <c r="G150" i="1" s="1"/>
  <c r="AF150" i="1" s="1"/>
  <c r="AB145" i="1"/>
  <c r="AA145" i="1"/>
  <c r="V145" i="1"/>
  <c r="R145" i="1" s="1"/>
  <c r="Q145" i="1"/>
  <c r="AB144" i="1"/>
  <c r="AA144" i="1"/>
  <c r="V144" i="1"/>
  <c r="U144" i="1" s="1"/>
  <c r="R144" i="1"/>
  <c r="Q144" i="1"/>
  <c r="F144" i="1"/>
  <c r="AB112" i="1"/>
  <c r="V112" i="1"/>
  <c r="F112" i="1"/>
  <c r="G112" i="1" s="1"/>
  <c r="AF112" i="1" s="1"/>
  <c r="E184" i="1" l="1"/>
  <c r="F233" i="1" s="1"/>
  <c r="I273" i="1" s="1"/>
  <c r="K273" i="1" s="1"/>
  <c r="G144" i="1"/>
  <c r="AF144" i="1" s="1"/>
  <c r="AF184" i="1" s="1"/>
  <c r="AD157" i="1"/>
  <c r="AH157" i="1" s="1"/>
  <c r="AG157" i="1" s="1"/>
  <c r="AP157" i="1"/>
  <c r="AK157" i="1"/>
  <c r="U112" i="1"/>
  <c r="AO112" i="1" s="1"/>
  <c r="AO150" i="1"/>
  <c r="AJ150" i="1"/>
  <c r="AP152" i="1"/>
  <c r="AK152" i="1"/>
  <c r="AO144" i="1"/>
  <c r="AJ144" i="1"/>
  <c r="R104" i="1"/>
  <c r="Y104" i="1" s="1"/>
  <c r="R152" i="1"/>
  <c r="AD104" i="1"/>
  <c r="AH104" i="1" s="1"/>
  <c r="AG104" i="1" s="1"/>
  <c r="Q112" i="1"/>
  <c r="Y150" i="1"/>
  <c r="R105" i="1"/>
  <c r="AD105" i="1"/>
  <c r="AH105" i="1" s="1"/>
  <c r="AG105" i="1" s="1"/>
  <c r="AD152" i="1"/>
  <c r="AH152" i="1" s="1"/>
  <c r="AG152" i="1" s="1"/>
  <c r="Y144" i="1"/>
  <c r="Y157" i="1"/>
  <c r="AD95" i="1"/>
  <c r="AH95" i="1" s="1"/>
  <c r="R95" i="1"/>
  <c r="Y95" i="1" s="1"/>
  <c r="R97" i="1"/>
  <c r="AD97" i="1"/>
  <c r="AH97" i="1" s="1"/>
  <c r="AG97" i="1" s="1"/>
  <c r="Y145" i="1"/>
  <c r="AD150" i="1"/>
  <c r="AH150" i="1" s="1"/>
  <c r="AG150" i="1" s="1"/>
  <c r="AM184" i="1"/>
  <c r="AM185" i="1" s="1"/>
  <c r="AL184" i="1"/>
  <c r="AL185" i="1" s="1"/>
  <c r="AQ184" i="1"/>
  <c r="AQ185" i="1" s="1"/>
  <c r="AD145" i="1"/>
  <c r="AH145" i="1" s="1"/>
  <c r="AG145" i="1" s="1"/>
  <c r="I184" i="1"/>
  <c r="K184" i="1" s="1"/>
  <c r="AR184" i="1"/>
  <c r="AR185" i="1" s="1"/>
  <c r="AB184" i="1"/>
  <c r="AC184" i="1" s="1"/>
  <c r="AD144" i="1"/>
  <c r="AR87" i="1"/>
  <c r="AQ87" i="1"/>
  <c r="AP87" i="1"/>
  <c r="AO87" i="1"/>
  <c r="AM87" i="1"/>
  <c r="AL87" i="1"/>
  <c r="AK87" i="1"/>
  <c r="AJ87" i="1"/>
  <c r="AB87" i="1"/>
  <c r="V87" i="1"/>
  <c r="U87" i="1" s="1"/>
  <c r="Q87" i="1"/>
  <c r="F87" i="1"/>
  <c r="G87" i="1" s="1"/>
  <c r="AF87" i="1" s="1"/>
  <c r="G233" i="1" l="1"/>
  <c r="AF233" i="1" s="1"/>
  <c r="E273" i="1"/>
  <c r="AH144" i="1"/>
  <c r="AH184" i="1" s="1"/>
  <c r="AI184" i="1" s="1"/>
  <c r="AP184" i="1"/>
  <c r="AP185" i="1" s="1"/>
  <c r="AK184" i="1"/>
  <c r="AK185" i="1" s="1"/>
  <c r="AJ112" i="1"/>
  <c r="R112" i="1"/>
  <c r="Y112" i="1" s="1"/>
  <c r="AD112" i="1"/>
  <c r="AH112" i="1" s="1"/>
  <c r="AG112" i="1" s="1"/>
  <c r="AJ184" i="1"/>
  <c r="AJ185" i="1" s="1"/>
  <c r="AO184" i="1"/>
  <c r="AO185" i="1" s="1"/>
  <c r="Y152" i="1"/>
  <c r="AA152" i="1"/>
  <c r="AA184" i="1" s="1"/>
  <c r="R184" i="1" s="1"/>
  <c r="Y105" i="1"/>
  <c r="AA105" i="1"/>
  <c r="Y97" i="1"/>
  <c r="AA97" i="1"/>
  <c r="R87" i="1"/>
  <c r="AD87" i="1"/>
  <c r="AH87" i="1" s="1"/>
  <c r="AG87" i="1" s="1"/>
  <c r="AR83" i="1"/>
  <c r="AQ83" i="1"/>
  <c r="AP83" i="1"/>
  <c r="AO83" i="1"/>
  <c r="AM83" i="1"/>
  <c r="AL83" i="1"/>
  <c r="AK83" i="1"/>
  <c r="AJ83" i="1"/>
  <c r="AB83" i="1"/>
  <c r="AA83" i="1"/>
  <c r="V83" i="1"/>
  <c r="U83" i="1" s="1"/>
  <c r="R83" i="1" s="1"/>
  <c r="Q83" i="1"/>
  <c r="F83" i="1"/>
  <c r="G83" i="1" s="1"/>
  <c r="AF83" i="1" s="1"/>
  <c r="AR107" i="1"/>
  <c r="AQ107" i="1"/>
  <c r="AP107" i="1"/>
  <c r="AO107" i="1"/>
  <c r="AM107" i="1"/>
  <c r="AL107" i="1"/>
  <c r="AK107" i="1"/>
  <c r="AJ107" i="1"/>
  <c r="AR106" i="1"/>
  <c r="AQ106" i="1"/>
  <c r="AP106" i="1"/>
  <c r="AO106" i="1"/>
  <c r="AM106" i="1"/>
  <c r="AL106" i="1"/>
  <c r="AK106" i="1"/>
  <c r="AJ106" i="1"/>
  <c r="AR102" i="1"/>
  <c r="AQ102" i="1"/>
  <c r="AP102" i="1"/>
  <c r="AO102" i="1"/>
  <c r="AM102" i="1"/>
  <c r="AL102" i="1"/>
  <c r="AK102" i="1"/>
  <c r="AJ102" i="1"/>
  <c r="AR100" i="1"/>
  <c r="AQ100" i="1"/>
  <c r="AP100" i="1"/>
  <c r="AO100" i="1"/>
  <c r="AM100" i="1"/>
  <c r="AL100" i="1"/>
  <c r="AK100" i="1"/>
  <c r="AJ100" i="1"/>
  <c r="AR98" i="1"/>
  <c r="AQ98" i="1"/>
  <c r="AP98" i="1"/>
  <c r="AO98" i="1"/>
  <c r="AM98" i="1"/>
  <c r="AL98" i="1"/>
  <c r="AK98" i="1"/>
  <c r="AJ98" i="1"/>
  <c r="AR96" i="1"/>
  <c r="AQ96" i="1"/>
  <c r="AP96" i="1"/>
  <c r="AO96" i="1"/>
  <c r="AM96" i="1"/>
  <c r="AL96" i="1"/>
  <c r="AK96" i="1"/>
  <c r="AJ96" i="1"/>
  <c r="AR92" i="1"/>
  <c r="AQ92" i="1"/>
  <c r="AP92" i="1"/>
  <c r="AO92" i="1"/>
  <c r="AM92" i="1"/>
  <c r="AL92" i="1"/>
  <c r="AK92" i="1"/>
  <c r="AJ92" i="1"/>
  <c r="AR91" i="1"/>
  <c r="AQ91" i="1"/>
  <c r="AP91" i="1"/>
  <c r="AO91" i="1"/>
  <c r="AM91" i="1"/>
  <c r="AL91" i="1"/>
  <c r="AK91" i="1"/>
  <c r="AJ91" i="1"/>
  <c r="AR90" i="1"/>
  <c r="AP90" i="1"/>
  <c r="AO90" i="1"/>
  <c r="AM90" i="1"/>
  <c r="AK90" i="1"/>
  <c r="AJ90" i="1"/>
  <c r="AR89" i="1"/>
  <c r="AQ89" i="1"/>
  <c r="AP89" i="1"/>
  <c r="AO89" i="1"/>
  <c r="AM89" i="1"/>
  <c r="AL89" i="1"/>
  <c r="AK89" i="1"/>
  <c r="AJ89" i="1"/>
  <c r="AR88" i="1"/>
  <c r="AQ88" i="1"/>
  <c r="AP88" i="1"/>
  <c r="AO88" i="1"/>
  <c r="AM88" i="1"/>
  <c r="AL88" i="1"/>
  <c r="AK88" i="1"/>
  <c r="AJ88" i="1"/>
  <c r="AR86" i="1"/>
  <c r="AQ86" i="1"/>
  <c r="AP86" i="1"/>
  <c r="AO86" i="1"/>
  <c r="AM86" i="1"/>
  <c r="AL86" i="1"/>
  <c r="AK86" i="1"/>
  <c r="AJ86" i="1"/>
  <c r="AR85" i="1"/>
  <c r="AQ85" i="1"/>
  <c r="AP85" i="1"/>
  <c r="AO85" i="1"/>
  <c r="AM85" i="1"/>
  <c r="AL85" i="1"/>
  <c r="AK85" i="1"/>
  <c r="AJ85" i="1"/>
  <c r="AR84" i="1"/>
  <c r="AQ84" i="1"/>
  <c r="AO84" i="1"/>
  <c r="AM84" i="1"/>
  <c r="AL84" i="1"/>
  <c r="AJ84" i="1"/>
  <c r="AR82" i="1"/>
  <c r="AQ82" i="1"/>
  <c r="AP82" i="1"/>
  <c r="AO82" i="1"/>
  <c r="AM82" i="1"/>
  <c r="AL82" i="1"/>
  <c r="AK82" i="1"/>
  <c r="AJ82" i="1"/>
  <c r="AR81" i="1"/>
  <c r="AQ81" i="1"/>
  <c r="AP81" i="1"/>
  <c r="AO81" i="1"/>
  <c r="AM81" i="1"/>
  <c r="AL81" i="1"/>
  <c r="AK81" i="1"/>
  <c r="AJ81" i="1"/>
  <c r="AR80" i="1"/>
  <c r="AQ80" i="1"/>
  <c r="AP80" i="1"/>
  <c r="AO80" i="1"/>
  <c r="AM80" i="1"/>
  <c r="AL80" i="1"/>
  <c r="AK80" i="1"/>
  <c r="AJ80" i="1"/>
  <c r="AR79" i="1"/>
  <c r="AQ79" i="1"/>
  <c r="AP79" i="1"/>
  <c r="AO79" i="1"/>
  <c r="AM79" i="1"/>
  <c r="AL79" i="1"/>
  <c r="AK79" i="1"/>
  <c r="AJ79" i="1"/>
  <c r="AR78" i="1"/>
  <c r="AQ78" i="1"/>
  <c r="AP78" i="1"/>
  <c r="AO78" i="1"/>
  <c r="AM78" i="1"/>
  <c r="AL78" i="1"/>
  <c r="AK78" i="1"/>
  <c r="AJ78" i="1"/>
  <c r="AR77" i="1"/>
  <c r="AQ77" i="1"/>
  <c r="AP77" i="1"/>
  <c r="AO77" i="1"/>
  <c r="AM77" i="1"/>
  <c r="AL77" i="1"/>
  <c r="AK77" i="1"/>
  <c r="AJ77" i="1"/>
  <c r="AR76" i="1"/>
  <c r="AQ76" i="1"/>
  <c r="AP76" i="1"/>
  <c r="AO76" i="1"/>
  <c r="AM76" i="1"/>
  <c r="AL76" i="1"/>
  <c r="AK76" i="1"/>
  <c r="AJ76" i="1"/>
  <c r="AR75" i="1"/>
  <c r="AQ75" i="1"/>
  <c r="AP75" i="1"/>
  <c r="AO75" i="1"/>
  <c r="AM75" i="1"/>
  <c r="AL75" i="1"/>
  <c r="AK75" i="1"/>
  <c r="AJ75" i="1"/>
  <c r="AR72" i="1"/>
  <c r="AQ72" i="1"/>
  <c r="AP72" i="1"/>
  <c r="AO72" i="1"/>
  <c r="AR71" i="1"/>
  <c r="AQ71" i="1"/>
  <c r="AP71" i="1"/>
  <c r="AO71" i="1"/>
  <c r="AR70" i="1"/>
  <c r="AQ70" i="1"/>
  <c r="AP70" i="1"/>
  <c r="AO70" i="1"/>
  <c r="AR69" i="1"/>
  <c r="AQ69" i="1"/>
  <c r="AP69" i="1"/>
  <c r="AO69" i="1"/>
  <c r="AR68" i="1"/>
  <c r="AQ68" i="1"/>
  <c r="AP68" i="1"/>
  <c r="AO68" i="1"/>
  <c r="AR67" i="1"/>
  <c r="AQ67" i="1"/>
  <c r="AP67" i="1"/>
  <c r="AO67" i="1"/>
  <c r="AR66" i="1"/>
  <c r="AQ66" i="1"/>
  <c r="AP66" i="1"/>
  <c r="AO66" i="1"/>
  <c r="AR65" i="1"/>
  <c r="AQ65" i="1"/>
  <c r="AP65" i="1"/>
  <c r="AO65" i="1"/>
  <c r="AR64" i="1"/>
  <c r="AQ64" i="1"/>
  <c r="AP64" i="1"/>
  <c r="AO64" i="1"/>
  <c r="AR63" i="1"/>
  <c r="AQ63" i="1"/>
  <c r="AP63" i="1"/>
  <c r="AO63" i="1"/>
  <c r="AR62" i="1"/>
  <c r="AQ62" i="1"/>
  <c r="AP62" i="1"/>
  <c r="AO62" i="1"/>
  <c r="AR61" i="1"/>
  <c r="AQ61" i="1"/>
  <c r="AP61" i="1"/>
  <c r="AO61" i="1"/>
  <c r="AR60" i="1"/>
  <c r="AQ60" i="1"/>
  <c r="AP60" i="1"/>
  <c r="AO60" i="1"/>
  <c r="AR59" i="1"/>
  <c r="AQ59" i="1"/>
  <c r="AP59" i="1"/>
  <c r="AO59" i="1"/>
  <c r="AR94" i="1"/>
  <c r="AQ94" i="1"/>
  <c r="AP94" i="1"/>
  <c r="AO94" i="1"/>
  <c r="AR58" i="1"/>
  <c r="AP58" i="1"/>
  <c r="AO58" i="1"/>
  <c r="AR57" i="1"/>
  <c r="AQ57" i="1"/>
  <c r="AP57" i="1"/>
  <c r="AO57" i="1"/>
  <c r="AR56" i="1"/>
  <c r="AQ56" i="1"/>
  <c r="AP56" i="1"/>
  <c r="AO56" i="1"/>
  <c r="AR55" i="1"/>
  <c r="AQ55" i="1"/>
  <c r="AP55" i="1"/>
  <c r="AO55" i="1"/>
  <c r="AR54" i="1"/>
  <c r="AP54" i="1"/>
  <c r="AO54" i="1"/>
  <c r="AR53" i="1"/>
  <c r="AQ53" i="1"/>
  <c r="AP53" i="1"/>
  <c r="AO53" i="1"/>
  <c r="AR52" i="1"/>
  <c r="AQ52" i="1"/>
  <c r="AP52" i="1"/>
  <c r="AO52" i="1"/>
  <c r="AR51" i="1"/>
  <c r="AQ51" i="1"/>
  <c r="AP51" i="1"/>
  <c r="AO51" i="1"/>
  <c r="AR50" i="1"/>
  <c r="AQ50" i="1"/>
  <c r="AO50" i="1"/>
  <c r="AR49" i="1"/>
  <c r="AQ49" i="1"/>
  <c r="AP49" i="1"/>
  <c r="AO49" i="1"/>
  <c r="AR48" i="1"/>
  <c r="AQ48" i="1"/>
  <c r="AO48" i="1"/>
  <c r="AR47" i="1"/>
  <c r="AQ47" i="1"/>
  <c r="AP47" i="1"/>
  <c r="AO47" i="1"/>
  <c r="AR46" i="1"/>
  <c r="AQ46" i="1"/>
  <c r="AO46" i="1"/>
  <c r="AR45" i="1"/>
  <c r="AQ45" i="1"/>
  <c r="AP45" i="1"/>
  <c r="AO45" i="1"/>
  <c r="AR44" i="1"/>
  <c r="AQ44" i="1"/>
  <c r="AO44" i="1"/>
  <c r="AR43" i="1"/>
  <c r="AQ43" i="1"/>
  <c r="AP43" i="1"/>
  <c r="AO43" i="1"/>
  <c r="AR42" i="1"/>
  <c r="AQ42" i="1"/>
  <c r="AP42" i="1"/>
  <c r="AR41" i="1"/>
  <c r="AQ41" i="1"/>
  <c r="AP41" i="1"/>
  <c r="AO41" i="1"/>
  <c r="AR40" i="1"/>
  <c r="AQ40" i="1"/>
  <c r="AP40" i="1"/>
  <c r="AO40" i="1"/>
  <c r="AR39" i="1"/>
  <c r="AQ39" i="1"/>
  <c r="AP39" i="1"/>
  <c r="AO39" i="1"/>
  <c r="AR38" i="1"/>
  <c r="AQ38" i="1"/>
  <c r="AP38" i="1"/>
  <c r="AO38" i="1"/>
  <c r="AR37" i="1"/>
  <c r="AQ37" i="1"/>
  <c r="AP37" i="1"/>
  <c r="AO37" i="1"/>
  <c r="AR36" i="1"/>
  <c r="AQ36" i="1"/>
  <c r="AP36" i="1"/>
  <c r="AO36" i="1"/>
  <c r="AM41" i="1"/>
  <c r="AL41" i="1"/>
  <c r="AK41" i="1"/>
  <c r="AJ41" i="1"/>
  <c r="AR17" i="1"/>
  <c r="AQ17" i="1"/>
  <c r="AP17" i="1"/>
  <c r="AO17" i="1"/>
  <c r="AR33" i="1"/>
  <c r="AQ33" i="1"/>
  <c r="AP33" i="1"/>
  <c r="AO33" i="1"/>
  <c r="AR32" i="1"/>
  <c r="AQ32" i="1"/>
  <c r="AP32" i="1"/>
  <c r="AO32" i="1"/>
  <c r="AR31" i="1"/>
  <c r="AQ31" i="1"/>
  <c r="AP31" i="1"/>
  <c r="AO31" i="1"/>
  <c r="AR30" i="1"/>
  <c r="AQ30" i="1"/>
  <c r="AP30" i="1"/>
  <c r="AO30" i="1"/>
  <c r="AR29" i="1"/>
  <c r="AQ29" i="1"/>
  <c r="AP29" i="1"/>
  <c r="AO29" i="1"/>
  <c r="AR28" i="1"/>
  <c r="AQ28" i="1"/>
  <c r="AP28" i="1"/>
  <c r="AO28" i="1"/>
  <c r="AR27" i="1"/>
  <c r="AQ27" i="1"/>
  <c r="AP27" i="1"/>
  <c r="AO27" i="1"/>
  <c r="AR26" i="1"/>
  <c r="AQ26" i="1"/>
  <c r="AP26" i="1"/>
  <c r="AO26" i="1"/>
  <c r="AR25" i="1"/>
  <c r="AQ25" i="1"/>
  <c r="AP25" i="1"/>
  <c r="AO25" i="1"/>
  <c r="AR24" i="1"/>
  <c r="AQ24" i="1"/>
  <c r="AP24" i="1"/>
  <c r="AO24" i="1"/>
  <c r="AR23" i="1"/>
  <c r="AP23" i="1"/>
  <c r="AO23" i="1"/>
  <c r="AR22" i="1"/>
  <c r="AQ22" i="1"/>
  <c r="AP22" i="1"/>
  <c r="AO22" i="1"/>
  <c r="AR21" i="1"/>
  <c r="AQ21" i="1"/>
  <c r="AP21" i="1"/>
  <c r="AO21" i="1"/>
  <c r="AR20" i="1"/>
  <c r="AQ20" i="1"/>
  <c r="AP20" i="1"/>
  <c r="AO20" i="1"/>
  <c r="AR19" i="1"/>
  <c r="AQ19" i="1"/>
  <c r="AP19" i="1"/>
  <c r="AO19" i="1"/>
  <c r="AR18" i="1"/>
  <c r="AQ18" i="1"/>
  <c r="AP18" i="1"/>
  <c r="AO18" i="1"/>
  <c r="AM33" i="1"/>
  <c r="AL33" i="1"/>
  <c r="AK33" i="1"/>
  <c r="AJ33" i="1"/>
  <c r="AM32" i="1"/>
  <c r="AL32" i="1"/>
  <c r="AK32" i="1"/>
  <c r="AJ32" i="1"/>
  <c r="AM31" i="1"/>
  <c r="AL31" i="1"/>
  <c r="AK31" i="1"/>
  <c r="AJ31" i="1"/>
  <c r="AM30" i="1"/>
  <c r="AL30" i="1"/>
  <c r="AK30" i="1"/>
  <c r="AJ30" i="1"/>
  <c r="AM29" i="1"/>
  <c r="AL29" i="1"/>
  <c r="AK29" i="1"/>
  <c r="AJ29" i="1"/>
  <c r="AM28" i="1"/>
  <c r="AL28" i="1"/>
  <c r="AK28" i="1"/>
  <c r="AJ28" i="1"/>
  <c r="AM27" i="1"/>
  <c r="AL27" i="1"/>
  <c r="AK27" i="1"/>
  <c r="AJ27" i="1"/>
  <c r="AM26" i="1"/>
  <c r="AL26" i="1"/>
  <c r="AK26" i="1"/>
  <c r="AJ26" i="1"/>
  <c r="AM25" i="1"/>
  <c r="AL25" i="1"/>
  <c r="AK25" i="1"/>
  <c r="AJ25" i="1"/>
  <c r="AM24" i="1"/>
  <c r="AL24" i="1"/>
  <c r="AK24" i="1"/>
  <c r="AJ24" i="1"/>
  <c r="AM23" i="1"/>
  <c r="AK23" i="1"/>
  <c r="AJ23" i="1"/>
  <c r="AM22" i="1"/>
  <c r="AL22" i="1"/>
  <c r="AK22" i="1"/>
  <c r="AJ22" i="1"/>
  <c r="AM21" i="1"/>
  <c r="AL21" i="1"/>
  <c r="AK21" i="1"/>
  <c r="AJ21" i="1"/>
  <c r="AM20" i="1"/>
  <c r="AL20" i="1"/>
  <c r="AK20" i="1"/>
  <c r="AJ20" i="1"/>
  <c r="AM19" i="1"/>
  <c r="AL19" i="1"/>
  <c r="AK19" i="1"/>
  <c r="AJ19" i="1"/>
  <c r="AM18" i="1"/>
  <c r="AL18" i="1"/>
  <c r="AK18" i="1"/>
  <c r="AJ18" i="1"/>
  <c r="AM17" i="1"/>
  <c r="AL17" i="1"/>
  <c r="AK17" i="1"/>
  <c r="AJ17" i="1"/>
  <c r="AM72" i="1"/>
  <c r="AL72" i="1"/>
  <c r="AK72" i="1"/>
  <c r="AJ72" i="1"/>
  <c r="AM71" i="1"/>
  <c r="AL71" i="1"/>
  <c r="AK71" i="1"/>
  <c r="AJ71" i="1"/>
  <c r="AM70" i="1"/>
  <c r="AL70" i="1"/>
  <c r="AK70" i="1"/>
  <c r="AJ70" i="1"/>
  <c r="AM69" i="1"/>
  <c r="AL69" i="1"/>
  <c r="AK69" i="1"/>
  <c r="AJ69" i="1"/>
  <c r="AM68" i="1"/>
  <c r="AL68" i="1"/>
  <c r="AK68" i="1"/>
  <c r="AJ68" i="1"/>
  <c r="AM67" i="1"/>
  <c r="AL67" i="1"/>
  <c r="AK67" i="1"/>
  <c r="AJ67" i="1"/>
  <c r="AM66" i="1"/>
  <c r="AL66" i="1"/>
  <c r="AK66" i="1"/>
  <c r="AJ66" i="1"/>
  <c r="AM65" i="1"/>
  <c r="AL65" i="1"/>
  <c r="AK65" i="1"/>
  <c r="AJ65" i="1"/>
  <c r="AM64" i="1"/>
  <c r="AL64" i="1"/>
  <c r="AK64" i="1"/>
  <c r="AJ64" i="1"/>
  <c r="AM63" i="1"/>
  <c r="AL63" i="1"/>
  <c r="AK63" i="1"/>
  <c r="AJ63" i="1"/>
  <c r="AM62" i="1"/>
  <c r="AL62" i="1"/>
  <c r="AK62" i="1"/>
  <c r="AJ62" i="1"/>
  <c r="AM61" i="1"/>
  <c r="AL61" i="1"/>
  <c r="AK61" i="1"/>
  <c r="AJ61" i="1"/>
  <c r="AM60" i="1"/>
  <c r="AL60" i="1"/>
  <c r="AK60" i="1"/>
  <c r="AJ60" i="1"/>
  <c r="AM59" i="1"/>
  <c r="AL59" i="1"/>
  <c r="AK59" i="1"/>
  <c r="AJ59" i="1"/>
  <c r="AM94" i="1"/>
  <c r="AL94" i="1"/>
  <c r="AK94" i="1"/>
  <c r="AJ94" i="1"/>
  <c r="AM58" i="1"/>
  <c r="AK58" i="1"/>
  <c r="AJ58" i="1"/>
  <c r="AM57" i="1"/>
  <c r="AL57" i="1"/>
  <c r="AK57" i="1"/>
  <c r="AJ57" i="1"/>
  <c r="AM56" i="1"/>
  <c r="AL56" i="1"/>
  <c r="AK56" i="1"/>
  <c r="AJ56" i="1"/>
  <c r="AM55" i="1"/>
  <c r="AL55" i="1"/>
  <c r="AK55" i="1"/>
  <c r="AJ55" i="1"/>
  <c r="AM54" i="1"/>
  <c r="AK54" i="1"/>
  <c r="AJ54" i="1"/>
  <c r="AM53" i="1"/>
  <c r="AL53" i="1"/>
  <c r="AK53" i="1"/>
  <c r="AJ53" i="1"/>
  <c r="AM52" i="1"/>
  <c r="AL52" i="1"/>
  <c r="AK52" i="1"/>
  <c r="AJ52" i="1"/>
  <c r="AM51" i="1"/>
  <c r="AL51" i="1"/>
  <c r="AK51" i="1"/>
  <c r="AJ51" i="1"/>
  <c r="AM50" i="1"/>
  <c r="AL50" i="1"/>
  <c r="AJ50" i="1"/>
  <c r="AM49" i="1"/>
  <c r="AL49" i="1"/>
  <c r="AK49" i="1"/>
  <c r="AJ49" i="1"/>
  <c r="AM48" i="1"/>
  <c r="AL48" i="1"/>
  <c r="AJ48" i="1"/>
  <c r="AM47" i="1"/>
  <c r="AL47" i="1"/>
  <c r="AK47" i="1"/>
  <c r="AJ47" i="1"/>
  <c r="AM46" i="1"/>
  <c r="AL46" i="1"/>
  <c r="AJ46" i="1"/>
  <c r="AM45" i="1"/>
  <c r="AL45" i="1"/>
  <c r="AK45" i="1"/>
  <c r="AJ45" i="1"/>
  <c r="AM44" i="1"/>
  <c r="AL44" i="1"/>
  <c r="AJ44" i="1"/>
  <c r="AM43" i="1"/>
  <c r="AL43" i="1"/>
  <c r="AK43" i="1"/>
  <c r="AJ43" i="1"/>
  <c r="AM42" i="1"/>
  <c r="AL42" i="1"/>
  <c r="AK42" i="1"/>
  <c r="AM40" i="1"/>
  <c r="AL40" i="1"/>
  <c r="AK40" i="1"/>
  <c r="AJ40" i="1"/>
  <c r="AM39" i="1"/>
  <c r="AL39" i="1"/>
  <c r="AK39" i="1"/>
  <c r="AJ39" i="1"/>
  <c r="AM38" i="1"/>
  <c r="AL38" i="1"/>
  <c r="AK38" i="1"/>
  <c r="AJ38" i="1"/>
  <c r="AM37" i="1"/>
  <c r="AL37" i="1"/>
  <c r="AK37" i="1"/>
  <c r="AJ37" i="1"/>
  <c r="AM36" i="1"/>
  <c r="AL36" i="1"/>
  <c r="AK36" i="1"/>
  <c r="AJ36" i="1"/>
  <c r="AB77" i="1"/>
  <c r="AA77" i="1"/>
  <c r="V77" i="1"/>
  <c r="U77" i="1" s="1"/>
  <c r="Q77" i="1"/>
  <c r="F77" i="1"/>
  <c r="G77" i="1" s="1"/>
  <c r="AF77" i="1" s="1"/>
  <c r="AB86" i="1"/>
  <c r="V86" i="1"/>
  <c r="U86" i="1" s="1"/>
  <c r="Q86" i="1"/>
  <c r="F86" i="1"/>
  <c r="G86" i="1" s="1"/>
  <c r="AF86" i="1" s="1"/>
  <c r="F88" i="1"/>
  <c r="G88" i="1" s="1"/>
  <c r="AF88" i="1" s="1"/>
  <c r="Q88" i="1"/>
  <c r="R88" i="1"/>
  <c r="V88" i="1"/>
  <c r="U88" i="1" s="1"/>
  <c r="AA88" i="1"/>
  <c r="AB88" i="1"/>
  <c r="R91" i="1"/>
  <c r="AH233" i="1" l="1"/>
  <c r="AF273" i="1"/>
  <c r="AN185" i="1"/>
  <c r="AS185" i="1"/>
  <c r="AG144" i="1"/>
  <c r="AG184" i="1" s="1"/>
  <c r="N184" i="1" s="1"/>
  <c r="AA112" i="1"/>
  <c r="AN184" i="1"/>
  <c r="AS184" i="1"/>
  <c r="Z184" i="1"/>
  <c r="AM142" i="1"/>
  <c r="AR142" i="1"/>
  <c r="Y87" i="1"/>
  <c r="AA87" i="1"/>
  <c r="AM73" i="1"/>
  <c r="AM74" i="1" s="1"/>
  <c r="AD88" i="1"/>
  <c r="AH88" i="1" s="1"/>
  <c r="AG88" i="1" s="1"/>
  <c r="Y88" i="1"/>
  <c r="AD77" i="1"/>
  <c r="AH77" i="1" s="1"/>
  <c r="AG77" i="1" s="1"/>
  <c r="Y83" i="1"/>
  <c r="AJ108" i="1"/>
  <c r="AJ109" i="1" s="1"/>
  <c r="AO108" i="1"/>
  <c r="AO109" i="1" s="1"/>
  <c r="AD83" i="1"/>
  <c r="AH83" i="1" s="1"/>
  <c r="AG83" i="1" s="1"/>
  <c r="AR108" i="1"/>
  <c r="AR109" i="1" s="1"/>
  <c r="AM108" i="1"/>
  <c r="AM109" i="1" s="1"/>
  <c r="AR73" i="1"/>
  <c r="AR74" i="1" s="1"/>
  <c r="AJ34" i="1"/>
  <c r="AJ35" i="1" s="1"/>
  <c r="AR34" i="1"/>
  <c r="AR35" i="1" s="1"/>
  <c r="AP34" i="1"/>
  <c r="AP35" i="1" s="1"/>
  <c r="AO34" i="1"/>
  <c r="AO35" i="1" s="1"/>
  <c r="AM34" i="1"/>
  <c r="AM35" i="1" s="1"/>
  <c r="AK34" i="1"/>
  <c r="AK35" i="1" s="1"/>
  <c r="R77" i="1"/>
  <c r="Y77" i="1" s="1"/>
  <c r="AD86" i="1"/>
  <c r="AH86" i="1" s="1"/>
  <c r="AG86" i="1" s="1"/>
  <c r="R86" i="1"/>
  <c r="AB67" i="1"/>
  <c r="AA67" i="1"/>
  <c r="V67" i="1"/>
  <c r="U67" i="1" s="1"/>
  <c r="Q67" i="1"/>
  <c r="F67" i="1"/>
  <c r="G67" i="1" s="1"/>
  <c r="AF67" i="1" s="1"/>
  <c r="AG233" i="1" l="1"/>
  <c r="AG273" i="1" s="1"/>
  <c r="N273" i="1" s="1"/>
  <c r="AH273" i="1"/>
  <c r="AI273" i="1" s="1"/>
  <c r="AM143" i="1"/>
  <c r="AR143" i="1"/>
  <c r="R67" i="1"/>
  <c r="Y67" i="1" s="1"/>
  <c r="Y86" i="1"/>
  <c r="AA86" i="1"/>
  <c r="AD67" i="1"/>
  <c r="AH67" i="1" s="1"/>
  <c r="AG67" i="1" s="1"/>
  <c r="AB91" i="1"/>
  <c r="V91" i="1"/>
  <c r="U91" i="1" s="1"/>
  <c r="Q91" i="1"/>
  <c r="F91" i="1"/>
  <c r="G91" i="1" s="1"/>
  <c r="AF91" i="1" s="1"/>
  <c r="P90" i="1"/>
  <c r="AB98" i="1"/>
  <c r="V98" i="1"/>
  <c r="U98" i="1" s="1"/>
  <c r="Q98" i="1"/>
  <c r="F98" i="1"/>
  <c r="G98" i="1" s="1"/>
  <c r="AF98" i="1" s="1"/>
  <c r="AB90" i="1"/>
  <c r="AA90" i="1"/>
  <c r="V90" i="1"/>
  <c r="F90" i="1"/>
  <c r="G90" i="1" s="1"/>
  <c r="AF90" i="1" s="1"/>
  <c r="U90" i="1" l="1"/>
  <c r="AD90" i="1" s="1"/>
  <c r="AH90" i="1" s="1"/>
  <c r="AG90" i="1" s="1"/>
  <c r="Q90" i="1"/>
  <c r="AL90" i="1"/>
  <c r="AL108" i="1" s="1"/>
  <c r="AL109" i="1" s="1"/>
  <c r="AQ90" i="1"/>
  <c r="AQ108" i="1" s="1"/>
  <c r="AQ109" i="1" s="1"/>
  <c r="AD91" i="1"/>
  <c r="AH91" i="1" s="1"/>
  <c r="AG91" i="1" s="1"/>
  <c r="R98" i="1"/>
  <c r="AD98" i="1"/>
  <c r="AH98" i="1" s="1"/>
  <c r="AG98" i="1" s="1"/>
  <c r="AB100" i="1"/>
  <c r="V100" i="1"/>
  <c r="U100" i="1" s="1"/>
  <c r="Q100" i="1"/>
  <c r="F100" i="1"/>
  <c r="G100" i="1" s="1"/>
  <c r="AF100" i="1" s="1"/>
  <c r="R90" i="1" l="1"/>
  <c r="Y90" i="1" s="1"/>
  <c r="Y98" i="1"/>
  <c r="AA98" i="1"/>
  <c r="Y91" i="1"/>
  <c r="AA91" i="1"/>
  <c r="AD100" i="1"/>
  <c r="AH100" i="1" s="1"/>
  <c r="AG100" i="1" s="1"/>
  <c r="R100" i="1"/>
  <c r="Y100" i="1" l="1"/>
  <c r="AA100" i="1"/>
  <c r="AB92" i="1"/>
  <c r="V92" i="1"/>
  <c r="U92" i="1" s="1"/>
  <c r="Q92" i="1"/>
  <c r="F92" i="1"/>
  <c r="G92" i="1" s="1"/>
  <c r="AF92" i="1" s="1"/>
  <c r="F96" i="1"/>
  <c r="G96" i="1" s="1"/>
  <c r="AF96" i="1" s="1"/>
  <c r="Q96" i="1"/>
  <c r="R96" i="1"/>
  <c r="V96" i="1"/>
  <c r="U96" i="1" s="1"/>
  <c r="AA96" i="1"/>
  <c r="AB96" i="1"/>
  <c r="AD92" i="1" l="1"/>
  <c r="AH92" i="1" s="1"/>
  <c r="AG92" i="1" s="1"/>
  <c r="AD96" i="1"/>
  <c r="AH96" i="1" s="1"/>
  <c r="AG96" i="1" s="1"/>
  <c r="Y96" i="1"/>
  <c r="R92" i="1"/>
  <c r="I110" i="1"/>
  <c r="AB110" i="1" s="1"/>
  <c r="AF137" i="1"/>
  <c r="AB137" i="1"/>
  <c r="AA137" i="1"/>
  <c r="V137" i="1"/>
  <c r="U137" i="1" s="1"/>
  <c r="R137" i="1"/>
  <c r="Q137" i="1"/>
  <c r="AF132" i="1"/>
  <c r="AB132" i="1"/>
  <c r="AA132" i="1"/>
  <c r="V132" i="1"/>
  <c r="U132" i="1" s="1"/>
  <c r="R132" i="1"/>
  <c r="Q132" i="1"/>
  <c r="AB126" i="1"/>
  <c r="AA126" i="1"/>
  <c r="V126" i="1"/>
  <c r="U126" i="1" s="1"/>
  <c r="R126" i="1"/>
  <c r="Q126" i="1"/>
  <c r="F126" i="1"/>
  <c r="G126" i="1" s="1"/>
  <c r="AF126" i="1" s="1"/>
  <c r="AB122" i="1"/>
  <c r="V122" i="1"/>
  <c r="U122" i="1" s="1"/>
  <c r="Q122" i="1"/>
  <c r="F122" i="1"/>
  <c r="G122" i="1" s="1"/>
  <c r="AF122" i="1" s="1"/>
  <c r="AB120" i="1"/>
  <c r="V120" i="1"/>
  <c r="U120" i="1" s="1"/>
  <c r="Q120" i="1"/>
  <c r="F120" i="1"/>
  <c r="G120" i="1" s="1"/>
  <c r="AF120" i="1" s="1"/>
  <c r="AF121" i="1"/>
  <c r="AB121" i="1"/>
  <c r="AA121" i="1"/>
  <c r="V121" i="1"/>
  <c r="U121" i="1" s="1"/>
  <c r="R121" i="1"/>
  <c r="Q121" i="1"/>
  <c r="AB117" i="1"/>
  <c r="AA117" i="1"/>
  <c r="V117" i="1"/>
  <c r="U117" i="1" s="1"/>
  <c r="R117" i="1"/>
  <c r="Q117" i="1"/>
  <c r="F117" i="1"/>
  <c r="G117" i="1" s="1"/>
  <c r="AF117" i="1" s="1"/>
  <c r="AB116" i="1"/>
  <c r="V116" i="1"/>
  <c r="U116" i="1" s="1"/>
  <c r="Q116" i="1"/>
  <c r="F116" i="1"/>
  <c r="G116" i="1" s="1"/>
  <c r="AF116" i="1" s="1"/>
  <c r="AB115" i="1"/>
  <c r="AA115" i="1"/>
  <c r="V115" i="1"/>
  <c r="U115" i="1" s="1"/>
  <c r="R115" i="1"/>
  <c r="Q115" i="1"/>
  <c r="F115" i="1"/>
  <c r="G115" i="1" s="1"/>
  <c r="AF115" i="1" s="1"/>
  <c r="AF114" i="1"/>
  <c r="AB114" i="1"/>
  <c r="AA114" i="1"/>
  <c r="V114" i="1"/>
  <c r="U114" i="1" s="1"/>
  <c r="R114" i="1"/>
  <c r="Q114" i="1"/>
  <c r="F114" i="1"/>
  <c r="G114" i="1" s="1"/>
  <c r="AB113" i="1"/>
  <c r="V113" i="1"/>
  <c r="U113" i="1" s="1"/>
  <c r="Q113" i="1"/>
  <c r="F113" i="1"/>
  <c r="G113" i="1" s="1"/>
  <c r="AF113" i="1" s="1"/>
  <c r="AB111" i="1"/>
  <c r="AA111" i="1"/>
  <c r="V111" i="1"/>
  <c r="U111" i="1" s="1"/>
  <c r="R111" i="1"/>
  <c r="Q111" i="1"/>
  <c r="F111" i="1"/>
  <c r="G111" i="1" s="1"/>
  <c r="AF111" i="1" s="1"/>
  <c r="AA110" i="1"/>
  <c r="V110" i="1"/>
  <c r="U110" i="1" s="1"/>
  <c r="R110" i="1"/>
  <c r="Q110" i="1"/>
  <c r="P142" i="1"/>
  <c r="V85" i="1"/>
  <c r="U85" i="1" s="1"/>
  <c r="AB85" i="1"/>
  <c r="F85" i="1"/>
  <c r="G85" i="1" s="1"/>
  <c r="AF85" i="1" s="1"/>
  <c r="Q85" i="1"/>
  <c r="AB80" i="1"/>
  <c r="AD80" i="1" s="1"/>
  <c r="AF80" i="1"/>
  <c r="AA80" i="1"/>
  <c r="R80" i="1"/>
  <c r="Q80" i="1"/>
  <c r="V80" i="1"/>
  <c r="V81" i="1"/>
  <c r="AB81" i="1"/>
  <c r="AD81" i="1" s="1"/>
  <c r="F81" i="1"/>
  <c r="G81" i="1" s="1"/>
  <c r="AF81" i="1" s="1"/>
  <c r="Q81" i="1"/>
  <c r="R81" i="1" s="1"/>
  <c r="Y81" i="1" s="1"/>
  <c r="AB82" i="1"/>
  <c r="Q82" i="1"/>
  <c r="V82" i="1"/>
  <c r="U82" i="1" s="1"/>
  <c r="F82" i="1"/>
  <c r="G82" i="1" s="1"/>
  <c r="AF82" i="1" s="1"/>
  <c r="AB62" i="1"/>
  <c r="V62" i="1"/>
  <c r="U62" i="1" s="1"/>
  <c r="Q62" i="1"/>
  <c r="F62" i="1"/>
  <c r="G62" i="1" s="1"/>
  <c r="AF62" i="1" s="1"/>
  <c r="F106" i="1"/>
  <c r="G106" i="1" s="1"/>
  <c r="AF106" i="1" s="1"/>
  <c r="AB106" i="1"/>
  <c r="AA106" i="1"/>
  <c r="V106" i="1"/>
  <c r="U106" i="1" s="1"/>
  <c r="R106" i="1"/>
  <c r="Q106" i="1"/>
  <c r="AB102" i="1"/>
  <c r="AA102" i="1"/>
  <c r="V102" i="1"/>
  <c r="U102" i="1" s="1"/>
  <c r="R102" i="1"/>
  <c r="Q102" i="1"/>
  <c r="F102" i="1"/>
  <c r="G102" i="1" s="1"/>
  <c r="AF102" i="1" s="1"/>
  <c r="AB89" i="1"/>
  <c r="V89" i="1"/>
  <c r="U89" i="1" s="1"/>
  <c r="Q89" i="1"/>
  <c r="F89" i="1"/>
  <c r="G89" i="1" s="1"/>
  <c r="AF89" i="1" s="1"/>
  <c r="F52" i="1"/>
  <c r="G52" i="1" s="1"/>
  <c r="AF52" i="1"/>
  <c r="AB52" i="1"/>
  <c r="AA52" i="1"/>
  <c r="V52" i="1"/>
  <c r="U52" i="1" s="1"/>
  <c r="R52" i="1"/>
  <c r="Q52" i="1"/>
  <c r="AB68" i="1"/>
  <c r="V68" i="1"/>
  <c r="U68" i="1" s="1"/>
  <c r="Q68" i="1"/>
  <c r="F68" i="1"/>
  <c r="G68" i="1" s="1"/>
  <c r="AF68" i="1" s="1"/>
  <c r="F69" i="1"/>
  <c r="G69" i="1" s="1"/>
  <c r="AF69" i="1" s="1"/>
  <c r="Q69" i="1"/>
  <c r="V69" i="1"/>
  <c r="U69" i="1" s="1"/>
  <c r="AB69" i="1"/>
  <c r="AB79" i="1"/>
  <c r="V79" i="1"/>
  <c r="U79" i="1" s="1"/>
  <c r="Q79" i="1"/>
  <c r="F79" i="1"/>
  <c r="G79" i="1" s="1"/>
  <c r="AF79" i="1" s="1"/>
  <c r="AB65" i="1"/>
  <c r="V65" i="1"/>
  <c r="U65" i="1" s="1"/>
  <c r="Q65" i="1"/>
  <c r="F65" i="1"/>
  <c r="G65" i="1" s="1"/>
  <c r="AF65" i="1" s="1"/>
  <c r="Q78" i="1"/>
  <c r="AB55" i="1"/>
  <c r="V55" i="1"/>
  <c r="U55" i="1" s="1"/>
  <c r="Q55" i="1"/>
  <c r="F55" i="1"/>
  <c r="G55" i="1" s="1"/>
  <c r="AF55" i="1" s="1"/>
  <c r="V94" i="1"/>
  <c r="U94" i="1" s="1"/>
  <c r="Q94" i="1"/>
  <c r="V47" i="1"/>
  <c r="U47" i="1" s="1"/>
  <c r="R47" i="1"/>
  <c r="Q47" i="1"/>
  <c r="V72" i="1"/>
  <c r="U72" i="1" s="1"/>
  <c r="R72" i="1"/>
  <c r="Q72" i="1"/>
  <c r="V71" i="1"/>
  <c r="U71" i="1" s="1"/>
  <c r="R71" i="1"/>
  <c r="Q71" i="1"/>
  <c r="V107" i="1"/>
  <c r="U107" i="1" s="1"/>
  <c r="R107" i="1"/>
  <c r="Q107" i="1"/>
  <c r="AA650" i="1"/>
  <c r="AA107" i="1"/>
  <c r="AA75" i="1"/>
  <c r="AA72" i="1"/>
  <c r="AA71" i="1"/>
  <c r="AA70" i="1"/>
  <c r="AA64" i="1"/>
  <c r="AA60" i="1"/>
  <c r="AA57" i="1"/>
  <c r="AA53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B650" i="1"/>
  <c r="V650" i="1"/>
  <c r="U650" i="1" s="1"/>
  <c r="Q650" i="1"/>
  <c r="F650" i="1"/>
  <c r="G650" i="1" s="1"/>
  <c r="AF650" i="1"/>
  <c r="V84" i="1"/>
  <c r="U84" i="1" s="1"/>
  <c r="V78" i="1"/>
  <c r="U78" i="1" s="1"/>
  <c r="V76" i="1"/>
  <c r="U76" i="1" s="1"/>
  <c r="V75" i="1"/>
  <c r="U75" i="1" s="1"/>
  <c r="V70" i="1"/>
  <c r="U70" i="1" s="1"/>
  <c r="V66" i="1"/>
  <c r="V64" i="1"/>
  <c r="U64" i="1" s="1"/>
  <c r="V63" i="1"/>
  <c r="V61" i="1"/>
  <c r="U61" i="1" s="1"/>
  <c r="V60" i="1"/>
  <c r="U60" i="1" s="1"/>
  <c r="V59" i="1"/>
  <c r="V58" i="1"/>
  <c r="V57" i="1"/>
  <c r="U57" i="1" s="1"/>
  <c r="V56" i="1"/>
  <c r="V54" i="1"/>
  <c r="U54" i="1" s="1"/>
  <c r="V53" i="1"/>
  <c r="U53" i="1" s="1"/>
  <c r="V51" i="1"/>
  <c r="V50" i="1"/>
  <c r="V49" i="1"/>
  <c r="V48" i="1"/>
  <c r="V46" i="1"/>
  <c r="U46" i="1" s="1"/>
  <c r="V45" i="1"/>
  <c r="V44" i="1"/>
  <c r="V43" i="1"/>
  <c r="U43" i="1" s="1"/>
  <c r="V42" i="1"/>
  <c r="U42" i="1" s="1"/>
  <c r="V41" i="1"/>
  <c r="U41" i="1" s="1"/>
  <c r="V40" i="1"/>
  <c r="U40" i="1" s="1"/>
  <c r="V39" i="1"/>
  <c r="V38" i="1"/>
  <c r="U38" i="1" s="1"/>
  <c r="V37" i="1"/>
  <c r="V36" i="1"/>
  <c r="U36" i="1" s="1"/>
  <c r="V33" i="1"/>
  <c r="U33" i="1" s="1"/>
  <c r="V32" i="1"/>
  <c r="V31" i="1"/>
  <c r="V30" i="1"/>
  <c r="V29" i="1"/>
  <c r="U29" i="1" s="1"/>
  <c r="V28" i="1"/>
  <c r="U28" i="1" s="1"/>
  <c r="V27" i="1"/>
  <c r="V26" i="1"/>
  <c r="V25" i="1"/>
  <c r="U25" i="1" s="1"/>
  <c r="V24" i="1"/>
  <c r="V23" i="1"/>
  <c r="V22" i="1"/>
  <c r="U22" i="1" s="1"/>
  <c r="V21" i="1"/>
  <c r="U21" i="1" s="1"/>
  <c r="V20" i="1"/>
  <c r="U20" i="1" s="1"/>
  <c r="V18" i="1"/>
  <c r="U18" i="1" s="1"/>
  <c r="V19" i="1"/>
  <c r="V17" i="1"/>
  <c r="U17" i="1" s="1"/>
  <c r="AB107" i="1"/>
  <c r="AB84" i="1"/>
  <c r="AB78" i="1"/>
  <c r="AD78" i="1" s="1"/>
  <c r="AB76" i="1"/>
  <c r="AD76" i="1" s="1"/>
  <c r="AB75" i="1"/>
  <c r="AD75" i="1" s="1"/>
  <c r="AF107" i="1"/>
  <c r="AB36" i="1"/>
  <c r="AD36" i="1" s="1"/>
  <c r="AH36" i="1" s="1"/>
  <c r="AB70" i="1"/>
  <c r="AD70" i="1" s="1"/>
  <c r="AB66" i="1"/>
  <c r="AD66" i="1" s="1"/>
  <c r="AB64" i="1"/>
  <c r="AD64" i="1" s="1"/>
  <c r="AB63" i="1"/>
  <c r="AD63" i="1" s="1"/>
  <c r="AB61" i="1"/>
  <c r="AD61" i="1" s="1"/>
  <c r="AB60" i="1"/>
  <c r="AD60" i="1" s="1"/>
  <c r="AB59" i="1"/>
  <c r="AD59" i="1" s="1"/>
  <c r="AB94" i="1"/>
  <c r="AB58" i="1"/>
  <c r="AB57" i="1"/>
  <c r="AB56" i="1"/>
  <c r="AD56" i="1" s="1"/>
  <c r="AB54" i="1"/>
  <c r="AB53" i="1"/>
  <c r="AD53" i="1" s="1"/>
  <c r="AB51" i="1"/>
  <c r="AD51" i="1" s="1"/>
  <c r="AB50" i="1"/>
  <c r="AB49" i="1"/>
  <c r="AD49" i="1" s="1"/>
  <c r="AB48" i="1"/>
  <c r="AB47" i="1"/>
  <c r="AB46" i="1"/>
  <c r="AB45" i="1"/>
  <c r="AD45" i="1" s="1"/>
  <c r="AB44" i="1"/>
  <c r="AB43" i="1"/>
  <c r="AD43" i="1" s="1"/>
  <c r="AB42" i="1"/>
  <c r="AB41" i="1"/>
  <c r="AD41" i="1" s="1"/>
  <c r="AB40" i="1"/>
  <c r="AD40" i="1" s="1"/>
  <c r="AB39" i="1"/>
  <c r="AD39" i="1" s="1"/>
  <c r="AB38" i="1"/>
  <c r="AB37" i="1"/>
  <c r="AD37" i="1" s="1"/>
  <c r="F31" i="1"/>
  <c r="F76" i="1"/>
  <c r="G76" i="1" s="1"/>
  <c r="AF76" i="1" s="1"/>
  <c r="Q76" i="1"/>
  <c r="R76" i="1" s="1"/>
  <c r="Y76" i="1" s="1"/>
  <c r="F78" i="1"/>
  <c r="G78" i="1" s="1"/>
  <c r="AF78" i="1" s="1"/>
  <c r="Q49" i="1"/>
  <c r="R49" i="1" s="1"/>
  <c r="Y49" i="1" s="1"/>
  <c r="F49" i="1"/>
  <c r="G49" i="1" s="1"/>
  <c r="AF49" i="1" s="1"/>
  <c r="Q56" i="1"/>
  <c r="R56" i="1" s="1"/>
  <c r="Y56" i="1" s="1"/>
  <c r="F56" i="1"/>
  <c r="G56" i="1" s="1"/>
  <c r="AF56" i="1" s="1"/>
  <c r="AA56" i="1"/>
  <c r="AA49" i="1"/>
  <c r="P58" i="1"/>
  <c r="R38" i="1"/>
  <c r="Q38" i="1"/>
  <c r="F38" i="1"/>
  <c r="G38" i="1" s="1"/>
  <c r="AF38" i="1" s="1"/>
  <c r="R64" i="1"/>
  <c r="Q64" i="1"/>
  <c r="F64" i="1"/>
  <c r="G64" i="1" s="1"/>
  <c r="AF64" i="1" s="1"/>
  <c r="F40" i="1"/>
  <c r="G40" i="1" s="1"/>
  <c r="AF40" i="1" s="1"/>
  <c r="Q40" i="1"/>
  <c r="R40" i="1" s="1"/>
  <c r="Y40" i="1" s="1"/>
  <c r="AD31" i="1"/>
  <c r="AH31" i="1" s="1"/>
  <c r="AG31" i="1" s="1"/>
  <c r="R31" i="1"/>
  <c r="P50" i="1"/>
  <c r="Q66" i="1"/>
  <c r="R66" i="1" s="1"/>
  <c r="F66" i="1"/>
  <c r="G66" i="1" s="1"/>
  <c r="AF66" i="1" s="1"/>
  <c r="Q63" i="1"/>
  <c r="R63" i="1" s="1"/>
  <c r="F63" i="1"/>
  <c r="G63" i="1" s="1"/>
  <c r="AF63" i="1" s="1"/>
  <c r="Q61" i="1"/>
  <c r="R61" i="1" s="1"/>
  <c r="Y61" i="1" s="1"/>
  <c r="AA61" i="1"/>
  <c r="F61" i="1"/>
  <c r="G61" i="1" s="1"/>
  <c r="AF61" i="1" s="1"/>
  <c r="F94" i="1"/>
  <c r="G94" i="1" s="1"/>
  <c r="AF94" i="1" s="1"/>
  <c r="F58" i="1"/>
  <c r="G58" i="1" s="1"/>
  <c r="AF58" i="1" s="1"/>
  <c r="AF57" i="1"/>
  <c r="Q57" i="1"/>
  <c r="R57" i="1"/>
  <c r="F57" i="1"/>
  <c r="G57" i="1" s="1"/>
  <c r="F50" i="1"/>
  <c r="G50" i="1" s="1"/>
  <c r="AF50" i="1" s="1"/>
  <c r="AF47" i="1"/>
  <c r="F47" i="1"/>
  <c r="G47" i="1" s="1"/>
  <c r="P46" i="1"/>
  <c r="R37" i="1"/>
  <c r="AA58" i="1"/>
  <c r="Q11" i="1"/>
  <c r="S11" i="1" s="1"/>
  <c r="Q10" i="1"/>
  <c r="Q9" i="1"/>
  <c r="S9" i="1" s="1"/>
  <c r="AA50" i="1"/>
  <c r="Q59" i="1"/>
  <c r="R59" i="1" s="1"/>
  <c r="F59" i="1"/>
  <c r="G59" i="1" s="1"/>
  <c r="AF59" i="1" s="1"/>
  <c r="R75" i="1"/>
  <c r="Y75" i="1" s="1"/>
  <c r="F75" i="1"/>
  <c r="P54" i="1"/>
  <c r="F54" i="1"/>
  <c r="G54" i="1" s="1"/>
  <c r="AF54" i="1" s="1"/>
  <c r="F72" i="1"/>
  <c r="G72" i="1" s="1"/>
  <c r="F71" i="1"/>
  <c r="G71" i="1" s="1"/>
  <c r="AF72" i="1"/>
  <c r="AF71" i="1"/>
  <c r="AF20" i="1"/>
  <c r="F107" i="1"/>
  <c r="G107" i="1" s="1"/>
  <c r="F70" i="1"/>
  <c r="G70" i="1" s="1"/>
  <c r="AF70" i="1" s="1"/>
  <c r="F60" i="1"/>
  <c r="G60" i="1" s="1"/>
  <c r="AF60" i="1" s="1"/>
  <c r="F84" i="1"/>
  <c r="G84" i="1" s="1"/>
  <c r="AF84" i="1" s="1"/>
  <c r="F53" i="1"/>
  <c r="G53" i="1" s="1"/>
  <c r="AF53" i="1" s="1"/>
  <c r="F51" i="1"/>
  <c r="G51" i="1" s="1"/>
  <c r="AF51" i="1" s="1"/>
  <c r="F48" i="1"/>
  <c r="G48" i="1" s="1"/>
  <c r="AF48" i="1" s="1"/>
  <c r="F46" i="1"/>
  <c r="G46" i="1" s="1"/>
  <c r="AF46" i="1" s="1"/>
  <c r="F45" i="1"/>
  <c r="G45" i="1" s="1"/>
  <c r="AF45" i="1" s="1"/>
  <c r="F44" i="1"/>
  <c r="G44" i="1" s="1"/>
  <c r="AF44" i="1" s="1"/>
  <c r="F43" i="1"/>
  <c r="G43" i="1" s="1"/>
  <c r="AF43" i="1" s="1"/>
  <c r="F42" i="1"/>
  <c r="G42" i="1" s="1"/>
  <c r="AF42" i="1" s="1"/>
  <c r="F41" i="1"/>
  <c r="G41" i="1" s="1"/>
  <c r="AF41" i="1" s="1"/>
  <c r="F39" i="1"/>
  <c r="G39" i="1" s="1"/>
  <c r="AF39" i="1" s="1"/>
  <c r="F37" i="1"/>
  <c r="G37" i="1" s="1"/>
  <c r="AF37" i="1" s="1"/>
  <c r="F36" i="1"/>
  <c r="F35" i="1"/>
  <c r="F33" i="1"/>
  <c r="G33" i="1" s="1"/>
  <c r="AF33" i="1" s="1"/>
  <c r="F32" i="1"/>
  <c r="G32" i="1" s="1"/>
  <c r="AF32" i="1" s="1"/>
  <c r="F30" i="1"/>
  <c r="G30" i="1" s="1"/>
  <c r="AF30" i="1" s="1"/>
  <c r="F29" i="1"/>
  <c r="G29" i="1" s="1"/>
  <c r="AF29" i="1" s="1"/>
  <c r="F28" i="1"/>
  <c r="G28" i="1" s="1"/>
  <c r="AF28" i="1" s="1"/>
  <c r="F27" i="1"/>
  <c r="G27" i="1" s="1"/>
  <c r="AF27" i="1" s="1"/>
  <c r="F26" i="1"/>
  <c r="G26" i="1" s="1"/>
  <c r="AF26" i="1" s="1"/>
  <c r="F25" i="1"/>
  <c r="G25" i="1" s="1"/>
  <c r="AF25" i="1" s="1"/>
  <c r="F24" i="1"/>
  <c r="G24" i="1" s="1"/>
  <c r="AF24" i="1" s="1"/>
  <c r="F23" i="1"/>
  <c r="G23" i="1" s="1"/>
  <c r="AF23" i="1" s="1"/>
  <c r="F22" i="1"/>
  <c r="G22" i="1" s="1"/>
  <c r="AF22" i="1" s="1"/>
  <c r="F21" i="1"/>
  <c r="G21" i="1" s="1"/>
  <c r="AF21" i="1" s="1"/>
  <c r="F20" i="1"/>
  <c r="G20" i="1" s="1"/>
  <c r="F19" i="1"/>
  <c r="G19" i="1" s="1"/>
  <c r="AF19" i="1" s="1"/>
  <c r="F18" i="1"/>
  <c r="F17" i="1"/>
  <c r="AE639" i="1"/>
  <c r="AB72" i="1"/>
  <c r="AB71" i="1"/>
  <c r="R70" i="1"/>
  <c r="Y70" i="1" s="1"/>
  <c r="R60" i="1"/>
  <c r="Y60" i="1" s="1"/>
  <c r="R53" i="1"/>
  <c r="Y53" i="1" s="1"/>
  <c r="R32" i="1"/>
  <c r="Y32" i="1" s="1"/>
  <c r="AD29" i="1"/>
  <c r="AD28" i="1"/>
  <c r="AB17" i="1"/>
  <c r="AA54" i="1"/>
  <c r="AD32" i="1"/>
  <c r="Y43" i="1"/>
  <c r="Y36" i="1"/>
  <c r="Y33" i="1"/>
  <c r="Y29" i="1"/>
  <c r="Y28" i="1"/>
  <c r="AD27" i="1"/>
  <c r="R27" i="1"/>
  <c r="Y27" i="1" s="1"/>
  <c r="Q51" i="1"/>
  <c r="R51" i="1" s="1"/>
  <c r="Q45" i="1"/>
  <c r="R45" i="1" s="1"/>
  <c r="AA51" i="1"/>
  <c r="P44" i="1"/>
  <c r="P4" i="1"/>
  <c r="Q4" i="1" s="1"/>
  <c r="Q22" i="1"/>
  <c r="R22" i="1" s="1"/>
  <c r="Y22" i="1" s="1"/>
  <c r="Q39" i="1"/>
  <c r="Y39" i="1" s="1"/>
  <c r="AD33" i="1"/>
  <c r="Q23" i="1"/>
  <c r="P23" i="1"/>
  <c r="P42" i="1"/>
  <c r="P48" i="1"/>
  <c r="AD25" i="1"/>
  <c r="AD30" i="1"/>
  <c r="AD26" i="1"/>
  <c r="AD24" i="1"/>
  <c r="AD22" i="1"/>
  <c r="AD21" i="1"/>
  <c r="AD20" i="1"/>
  <c r="AD19" i="1"/>
  <c r="AD18" i="1"/>
  <c r="Y41" i="1"/>
  <c r="R30" i="1"/>
  <c r="Y30" i="1" s="1"/>
  <c r="R26" i="1"/>
  <c r="Y26" i="1" s="1"/>
  <c r="R25" i="1"/>
  <c r="Y25" i="1" s="1"/>
  <c r="R24" i="1"/>
  <c r="Y24" i="1" s="1"/>
  <c r="R21" i="1"/>
  <c r="Y21" i="1" s="1"/>
  <c r="R20" i="1"/>
  <c r="R19" i="1"/>
  <c r="R18" i="1"/>
  <c r="Y18" i="1" s="1"/>
  <c r="R17" i="1"/>
  <c r="Y17" i="1" s="1"/>
  <c r="AA48" i="1"/>
  <c r="V9" i="1" l="1"/>
  <c r="X9" i="1" s="1"/>
  <c r="V11" i="1"/>
  <c r="Y650" i="1"/>
  <c r="AJ116" i="1"/>
  <c r="AO116" i="1"/>
  <c r="AK122" i="1"/>
  <c r="AP122" i="1"/>
  <c r="G36" i="1"/>
  <c r="AF36" i="1" s="1"/>
  <c r="AF73" i="1" s="1"/>
  <c r="E73" i="1"/>
  <c r="G17" i="1"/>
  <c r="AF17" i="1" s="1"/>
  <c r="E34" i="1"/>
  <c r="G75" i="1"/>
  <c r="AF75" i="1" s="1"/>
  <c r="AF108" i="1" s="1"/>
  <c r="E108" i="1"/>
  <c r="AK116" i="1"/>
  <c r="AP116" i="1"/>
  <c r="AK120" i="1"/>
  <c r="AP120" i="1"/>
  <c r="AL122" i="1"/>
  <c r="AL142" i="1" s="1"/>
  <c r="AL143" i="1" s="1"/>
  <c r="AQ122" i="1"/>
  <c r="AQ142" i="1" s="1"/>
  <c r="AQ143" i="1" s="1"/>
  <c r="AO113" i="1"/>
  <c r="AJ113" i="1"/>
  <c r="R122" i="1"/>
  <c r="AA122" i="1" s="1"/>
  <c r="AB34" i="1"/>
  <c r="AC34" i="1" s="1"/>
  <c r="R94" i="1"/>
  <c r="AA94" i="1" s="1"/>
  <c r="F110" i="1"/>
  <c r="I643" i="1" s="1"/>
  <c r="R113" i="1"/>
  <c r="U19" i="1"/>
  <c r="R116" i="1"/>
  <c r="AA116" i="1" s="1"/>
  <c r="AQ54" i="1"/>
  <c r="AL54" i="1"/>
  <c r="AL58" i="1"/>
  <c r="AQ58" i="1"/>
  <c r="P34" i="1"/>
  <c r="AQ23" i="1"/>
  <c r="AQ34" i="1" s="1"/>
  <c r="AL23" i="1"/>
  <c r="AL34" i="1" s="1"/>
  <c r="Q44" i="1"/>
  <c r="R44" i="1" s="1"/>
  <c r="Y44" i="1" s="1"/>
  <c r="AP44" i="1"/>
  <c r="AK44" i="1"/>
  <c r="R46" i="1"/>
  <c r="Y46" i="1" s="1"/>
  <c r="AP46" i="1"/>
  <c r="AK46" i="1"/>
  <c r="Y84" i="1"/>
  <c r="AP84" i="1"/>
  <c r="AP108" i="1" s="1"/>
  <c r="AK84" i="1"/>
  <c r="AK108" i="1" s="1"/>
  <c r="AP48" i="1"/>
  <c r="AK48" i="1"/>
  <c r="Q42" i="1"/>
  <c r="R42" i="1" s="1"/>
  <c r="Y42" i="1" s="1"/>
  <c r="AO42" i="1"/>
  <c r="AO73" i="1" s="1"/>
  <c r="AJ42" i="1"/>
  <c r="AJ73" i="1" s="1"/>
  <c r="Q50" i="1"/>
  <c r="R50" i="1" s="1"/>
  <c r="U50" i="1" s="1"/>
  <c r="AP50" i="1"/>
  <c r="AK50" i="1"/>
  <c r="Y47" i="1"/>
  <c r="AD71" i="1"/>
  <c r="AH71" i="1" s="1"/>
  <c r="AG71" i="1" s="1"/>
  <c r="AH59" i="1"/>
  <c r="AG59" i="1" s="1"/>
  <c r="AD57" i="1"/>
  <c r="AH57" i="1" s="1"/>
  <c r="AG57" i="1" s="1"/>
  <c r="AD84" i="1"/>
  <c r="AH84" i="1" s="1"/>
  <c r="AG84" i="1" s="1"/>
  <c r="P108" i="1"/>
  <c r="AH20" i="1"/>
  <c r="AG20" i="1" s="1"/>
  <c r="Y71" i="1"/>
  <c r="AD115" i="1"/>
  <c r="AH115" i="1" s="1"/>
  <c r="AG115" i="1" s="1"/>
  <c r="AD48" i="1"/>
  <c r="AH48" i="1" s="1"/>
  <c r="AG48" i="1" s="1"/>
  <c r="U66" i="1"/>
  <c r="U31" i="1"/>
  <c r="AH56" i="1"/>
  <c r="AG56" i="1" s="1"/>
  <c r="AD650" i="1"/>
  <c r="AH650" i="1" s="1"/>
  <c r="AG650" i="1" s="1"/>
  <c r="AA34" i="1"/>
  <c r="R34" i="1" s="1"/>
  <c r="AD126" i="1"/>
  <c r="AH126" i="1" s="1"/>
  <c r="AG126" i="1" s="1"/>
  <c r="U56" i="1"/>
  <c r="Y111" i="1"/>
  <c r="AD50" i="1"/>
  <c r="AH50" i="1" s="1"/>
  <c r="AG50" i="1" s="1"/>
  <c r="U39" i="1"/>
  <c r="R23" i="1"/>
  <c r="U23" i="1" s="1"/>
  <c r="U24" i="1"/>
  <c r="AD23" i="1"/>
  <c r="AH23" i="1" s="1"/>
  <c r="AG23" i="1" s="1"/>
  <c r="AH37" i="1"/>
  <c r="AG37" i="1" s="1"/>
  <c r="AD102" i="1"/>
  <c r="AH102" i="1" s="1"/>
  <c r="AG102" i="1" s="1"/>
  <c r="AH66" i="1"/>
  <c r="AG66" i="1" s="1"/>
  <c r="AD82" i="1"/>
  <c r="AH82" i="1" s="1"/>
  <c r="AG82" i="1" s="1"/>
  <c r="AA81" i="1"/>
  <c r="AD117" i="1"/>
  <c r="AH117" i="1" s="1"/>
  <c r="AG117" i="1" s="1"/>
  <c r="AD120" i="1"/>
  <c r="AH120" i="1" s="1"/>
  <c r="AG120" i="1" s="1"/>
  <c r="AH41" i="1"/>
  <c r="AG41" i="1" s="1"/>
  <c r="U30" i="1"/>
  <c r="R48" i="1"/>
  <c r="Y48" i="1" s="1"/>
  <c r="P73" i="1"/>
  <c r="AH43" i="1"/>
  <c r="AG43" i="1" s="1"/>
  <c r="AD54" i="1"/>
  <c r="AH54" i="1" s="1"/>
  <c r="AG54" i="1" s="1"/>
  <c r="AH61" i="1"/>
  <c r="AG61" i="1" s="1"/>
  <c r="AH63" i="1"/>
  <c r="AG63" i="1" s="1"/>
  <c r="AA76" i="1"/>
  <c r="AH80" i="1"/>
  <c r="AG80" i="1" s="1"/>
  <c r="AD85" i="1"/>
  <c r="AH85" i="1" s="1"/>
  <c r="AG85" i="1" s="1"/>
  <c r="AD17" i="1"/>
  <c r="AD47" i="1"/>
  <c r="AH47" i="1" s="1"/>
  <c r="AG47" i="1" s="1"/>
  <c r="R78" i="1"/>
  <c r="AA78" i="1" s="1"/>
  <c r="AD106" i="1"/>
  <c r="AH106" i="1" s="1"/>
  <c r="AG106" i="1" s="1"/>
  <c r="AD110" i="1"/>
  <c r="AD114" i="1"/>
  <c r="AH114" i="1" s="1"/>
  <c r="AG114" i="1" s="1"/>
  <c r="AD121" i="1"/>
  <c r="AH121" i="1" s="1"/>
  <c r="AG121" i="1" s="1"/>
  <c r="AD122" i="1"/>
  <c r="AH122" i="1" s="1"/>
  <c r="AG122" i="1" s="1"/>
  <c r="AD137" i="1"/>
  <c r="AH137" i="1" s="1"/>
  <c r="AG137" i="1" s="1"/>
  <c r="Y19" i="1"/>
  <c r="AH21" i="1"/>
  <c r="AG21" i="1" s="1"/>
  <c r="AH25" i="1"/>
  <c r="AG25" i="1" s="1"/>
  <c r="AH49" i="1"/>
  <c r="AG49" i="1" s="1"/>
  <c r="AD52" i="1"/>
  <c r="AH52" i="1" s="1"/>
  <c r="AG52" i="1" s="1"/>
  <c r="AD113" i="1"/>
  <c r="AH113" i="1" s="1"/>
  <c r="AG113" i="1" s="1"/>
  <c r="AD116" i="1"/>
  <c r="AH116" i="1" s="1"/>
  <c r="AG116" i="1" s="1"/>
  <c r="Y117" i="1"/>
  <c r="AD132" i="1"/>
  <c r="AH132" i="1" s="1"/>
  <c r="AG132" i="1" s="1"/>
  <c r="Y92" i="1"/>
  <c r="AA92" i="1"/>
  <c r="AD55" i="1"/>
  <c r="AH55" i="1" s="1"/>
  <c r="AG55" i="1" s="1"/>
  <c r="AD69" i="1"/>
  <c r="AH69" i="1" s="1"/>
  <c r="AG69" i="1" s="1"/>
  <c r="Y80" i="1"/>
  <c r="R120" i="1"/>
  <c r="AA120" i="1" s="1"/>
  <c r="U27" i="1"/>
  <c r="AH27" i="1"/>
  <c r="AG27" i="1" s="1"/>
  <c r="I73" i="1"/>
  <c r="AH26" i="1"/>
  <c r="AG26" i="1" s="1"/>
  <c r="Y57" i="1"/>
  <c r="Y64" i="1"/>
  <c r="Y107" i="1"/>
  <c r="Y72" i="1"/>
  <c r="AD79" i="1"/>
  <c r="AH79" i="1" s="1"/>
  <c r="AG79" i="1" s="1"/>
  <c r="R68" i="1"/>
  <c r="Y68" i="1" s="1"/>
  <c r="Y52" i="1"/>
  <c r="Y106" i="1"/>
  <c r="Y110" i="1"/>
  <c r="Y114" i="1"/>
  <c r="Y115" i="1"/>
  <c r="Y121" i="1"/>
  <c r="Y126" i="1"/>
  <c r="Y132" i="1"/>
  <c r="Y137" i="1"/>
  <c r="AD111" i="1"/>
  <c r="AH111" i="1" s="1"/>
  <c r="AG111" i="1" s="1"/>
  <c r="AB142" i="1"/>
  <c r="AC142" i="1" s="1"/>
  <c r="AH39" i="1"/>
  <c r="AG39" i="1" s="1"/>
  <c r="AH22" i="1"/>
  <c r="AG22" i="1" s="1"/>
  <c r="AH32" i="1"/>
  <c r="AG32" i="1" s="1"/>
  <c r="AH45" i="1"/>
  <c r="AG45" i="1" s="1"/>
  <c r="AD94" i="1"/>
  <c r="AH94" i="1" s="1"/>
  <c r="AG94" i="1" s="1"/>
  <c r="AD44" i="1"/>
  <c r="AH44" i="1" s="1"/>
  <c r="AG44" i="1" s="1"/>
  <c r="AH33" i="1"/>
  <c r="AG33" i="1" s="1"/>
  <c r="AH53" i="1"/>
  <c r="AG53" i="1" s="1"/>
  <c r="AA66" i="1"/>
  <c r="Y38" i="1"/>
  <c r="AD42" i="1"/>
  <c r="AH42" i="1" s="1"/>
  <c r="AG42" i="1" s="1"/>
  <c r="AD46" i="1"/>
  <c r="AH46" i="1" s="1"/>
  <c r="AG46" i="1" s="1"/>
  <c r="Y45" i="1"/>
  <c r="U45" i="1"/>
  <c r="G18" i="1"/>
  <c r="AF18" i="1" s="1"/>
  <c r="AH18" i="1" s="1"/>
  <c r="AG18" i="1" s="1"/>
  <c r="I34" i="1"/>
  <c r="AH70" i="1"/>
  <c r="AG70" i="1" s="1"/>
  <c r="Q54" i="1"/>
  <c r="R54" i="1" s="1"/>
  <c r="Y54" i="1" s="1"/>
  <c r="Y31" i="1"/>
  <c r="AD107" i="1"/>
  <c r="AH107" i="1" s="1"/>
  <c r="AG107" i="1" s="1"/>
  <c r="AD72" i="1"/>
  <c r="AH72" i="1" s="1"/>
  <c r="AG72" i="1" s="1"/>
  <c r="R89" i="1"/>
  <c r="AA89" i="1" s="1"/>
  <c r="AD89" i="1"/>
  <c r="AH89" i="1" s="1"/>
  <c r="AG89" i="1" s="1"/>
  <c r="AH19" i="1"/>
  <c r="AG19" i="1" s="1"/>
  <c r="V3" i="1"/>
  <c r="W3" i="1" s="1"/>
  <c r="U37" i="1"/>
  <c r="Y37" i="1"/>
  <c r="U63" i="1"/>
  <c r="AA63" i="1"/>
  <c r="Y63" i="1"/>
  <c r="I108" i="1"/>
  <c r="Q58" i="1"/>
  <c r="R58" i="1" s="1"/>
  <c r="Y58" i="1" s="1"/>
  <c r="AD58" i="1"/>
  <c r="AH58" i="1" s="1"/>
  <c r="AG58" i="1" s="1"/>
  <c r="AD38" i="1"/>
  <c r="AH38" i="1" s="1"/>
  <c r="AG38" i="1" s="1"/>
  <c r="AB73" i="1"/>
  <c r="AC73" i="1" s="1"/>
  <c r="U32" i="1"/>
  <c r="R79" i="1"/>
  <c r="U26" i="1"/>
  <c r="AH24" i="1"/>
  <c r="AG24" i="1" s="1"/>
  <c r="AH30" i="1"/>
  <c r="AG30" i="1" s="1"/>
  <c r="AH28" i="1"/>
  <c r="AG28" i="1" s="1"/>
  <c r="AH29" i="1"/>
  <c r="AG29" i="1" s="1"/>
  <c r="AH40" i="1"/>
  <c r="AG40" i="1" s="1"/>
  <c r="AH78" i="1"/>
  <c r="AG78" i="1" s="1"/>
  <c r="AB108" i="1"/>
  <c r="AC108" i="1" s="1"/>
  <c r="R55" i="1"/>
  <c r="AD68" i="1"/>
  <c r="AH68" i="1" s="1"/>
  <c r="AG68" i="1" s="1"/>
  <c r="R69" i="1"/>
  <c r="AA69" i="1" s="1"/>
  <c r="Y102" i="1"/>
  <c r="R82" i="1"/>
  <c r="AA82" i="1" s="1"/>
  <c r="AH51" i="1"/>
  <c r="AG51" i="1" s="1"/>
  <c r="AH60" i="1"/>
  <c r="AG60" i="1" s="1"/>
  <c r="AH76" i="1"/>
  <c r="AG36" i="1"/>
  <c r="Y51" i="1"/>
  <c r="U51" i="1"/>
  <c r="AA59" i="1"/>
  <c r="Y59" i="1"/>
  <c r="U59" i="1"/>
  <c r="AH64" i="1"/>
  <c r="AG64" i="1" s="1"/>
  <c r="V4" i="1"/>
  <c r="W4" i="1" s="1"/>
  <c r="Y66" i="1"/>
  <c r="U49" i="1"/>
  <c r="AH81" i="1"/>
  <c r="AG81" i="1" s="1"/>
  <c r="R85" i="1"/>
  <c r="R65" i="1"/>
  <c r="AD65" i="1"/>
  <c r="AH65" i="1" s="1"/>
  <c r="AG65" i="1" s="1"/>
  <c r="R62" i="1"/>
  <c r="AD62" i="1"/>
  <c r="X11" i="1" l="1"/>
  <c r="Y11" i="1" s="1"/>
  <c r="K73" i="1"/>
  <c r="AB639" i="1"/>
  <c r="AD639" i="1"/>
  <c r="W9" i="1"/>
  <c r="W2" i="1"/>
  <c r="S10" i="1"/>
  <c r="V10" i="1" s="1"/>
  <c r="X10" i="1" s="1"/>
  <c r="M10" i="1"/>
  <c r="W10" i="1" s="1"/>
  <c r="K34" i="1"/>
  <c r="AH17" i="1"/>
  <c r="AH34" i="1" s="1"/>
  <c r="AI34" i="1" s="1"/>
  <c r="AJ142" i="1"/>
  <c r="AJ143" i="1" s="1"/>
  <c r="AH75" i="1"/>
  <c r="AG75" i="1" s="1"/>
  <c r="AO142" i="1"/>
  <c r="AO143" i="1" s="1"/>
  <c r="G110" i="1"/>
  <c r="AF110" i="1" s="1"/>
  <c r="AF142" i="1" s="1"/>
  <c r="E142" i="1"/>
  <c r="Y122" i="1"/>
  <c r="AP142" i="1"/>
  <c r="AK142" i="1"/>
  <c r="AK143" i="1" s="1"/>
  <c r="U44" i="1"/>
  <c r="Y113" i="1"/>
  <c r="AA113" i="1"/>
  <c r="AA142" i="1" s="1"/>
  <c r="Z142" i="1" s="1"/>
  <c r="Y94" i="1"/>
  <c r="Y116" i="1"/>
  <c r="I644" i="1"/>
  <c r="I142" i="1"/>
  <c r="K142" i="1" s="1"/>
  <c r="AA84" i="1"/>
  <c r="Y50" i="1"/>
  <c r="AF34" i="1"/>
  <c r="Y23" i="1"/>
  <c r="AL73" i="1"/>
  <c r="AL74" i="1" s="1"/>
  <c r="AP109" i="1"/>
  <c r="AS108" i="1"/>
  <c r="AL35" i="1"/>
  <c r="AN35" i="1" s="1"/>
  <c r="AN34" i="1"/>
  <c r="AJ74" i="1"/>
  <c r="AP73" i="1"/>
  <c r="AP74" i="1" s="1"/>
  <c r="AK73" i="1"/>
  <c r="AK74" i="1" s="1"/>
  <c r="AQ35" i="1"/>
  <c r="AS35" i="1" s="1"/>
  <c r="AS34" i="1"/>
  <c r="AO74" i="1"/>
  <c r="AK109" i="1"/>
  <c r="AN109" i="1" s="1"/>
  <c r="AN108" i="1"/>
  <c r="AQ73" i="1"/>
  <c r="AQ74" i="1" s="1"/>
  <c r="Z34" i="1"/>
  <c r="Y120" i="1"/>
  <c r="Y89" i="1"/>
  <c r="Y78" i="1"/>
  <c r="Y82" i="1"/>
  <c r="U58" i="1"/>
  <c r="AA68" i="1"/>
  <c r="U48" i="1"/>
  <c r="K108" i="1"/>
  <c r="Y69" i="1"/>
  <c r="Y62" i="1"/>
  <c r="AA62" i="1"/>
  <c r="AA55" i="1"/>
  <c r="Y55" i="1"/>
  <c r="AA79" i="1"/>
  <c r="Y79" i="1"/>
  <c r="AH62" i="1"/>
  <c r="AG62" i="1" s="1"/>
  <c r="AG73" i="1" s="1"/>
  <c r="Y65" i="1"/>
  <c r="AA65" i="1"/>
  <c r="Y85" i="1"/>
  <c r="AA85" i="1"/>
  <c r="AG76" i="1"/>
  <c r="N73" i="1" l="1"/>
  <c r="I639" i="1"/>
  <c r="I641" i="1" s="1"/>
  <c r="I647" i="1" s="1"/>
  <c r="AF639" i="1"/>
  <c r="AE11" i="1"/>
  <c r="AF11" i="1" s="1"/>
  <c r="AE10" i="1"/>
  <c r="AF10" i="1" s="1"/>
  <c r="M12" i="1"/>
  <c r="AB11" i="1"/>
  <c r="AG17" i="1"/>
  <c r="AG34" i="1" s="1"/>
  <c r="N34" i="1" s="1"/>
  <c r="AH108" i="1"/>
  <c r="AI108" i="1" s="1"/>
  <c r="AG108" i="1"/>
  <c r="N108" i="1" s="1"/>
  <c r="AS142" i="1"/>
  <c r="AH110" i="1"/>
  <c r="AG110" i="1" s="1"/>
  <c r="AG142" i="1" s="1"/>
  <c r="N142" i="1" s="1"/>
  <c r="AE9" i="1"/>
  <c r="AF9" i="1" s="1"/>
  <c r="AN143" i="1"/>
  <c r="AN142" i="1"/>
  <c r="R142" i="1"/>
  <c r="AS73" i="1"/>
  <c r="AS74" i="1"/>
  <c r="AN73" i="1"/>
  <c r="AN74" i="1"/>
  <c r="AP143" i="1"/>
  <c r="AS143" i="1" s="1"/>
  <c r="AS109" i="1"/>
  <c r="AA108" i="1"/>
  <c r="Z108" i="1" s="1"/>
  <c r="AA73" i="1"/>
  <c r="AH73" i="1"/>
  <c r="AI73" i="1" s="1"/>
  <c r="AA639" i="1" l="1"/>
  <c r="R639" i="1" s="1"/>
  <c r="Y9" i="1"/>
  <c r="AB9" i="1" s="1"/>
  <c r="AD9" i="1" s="1"/>
  <c r="W12" i="1"/>
  <c r="Y10" i="1"/>
  <c r="AB10" i="1" s="1"/>
  <c r="AD10" i="1" s="1"/>
  <c r="V12" i="1"/>
  <c r="AH142" i="1"/>
  <c r="AI142" i="1" s="1"/>
  <c r="AH639" i="1" s="1"/>
  <c r="I648" i="1" s="1"/>
  <c r="I646" i="1"/>
  <c r="R73" i="1"/>
  <c r="Z73" i="1"/>
  <c r="R108" i="1"/>
  <c r="AD11" i="1"/>
</calcChain>
</file>

<file path=xl/sharedStrings.xml><?xml version="1.0" encoding="utf-8"?>
<sst xmlns="http://schemas.openxmlformats.org/spreadsheetml/2006/main" count="3433" uniqueCount="1491">
  <si>
    <t>TAX</t>
  </si>
  <si>
    <t xml:space="preserve">PER </t>
  </si>
  <si>
    <t>NIGH</t>
  </si>
  <si>
    <t>MONTH</t>
  </si>
  <si>
    <t>EXTRA</t>
  </si>
  <si>
    <t xml:space="preserve"> PEOPLE</t>
  </si>
  <si>
    <t>TOTAL</t>
  </si>
  <si>
    <t xml:space="preserve"> BIKES</t>
  </si>
  <si>
    <t>POOL</t>
  </si>
  <si>
    <t>CLEAN</t>
  </si>
  <si>
    <t>BIKES</t>
  </si>
  <si>
    <t>PEOPLE</t>
  </si>
  <si>
    <t xml:space="preserve"> TAX</t>
  </si>
  <si>
    <t>July 1 to August 31</t>
  </si>
  <si>
    <t xml:space="preserve"> HEAT THE POOL 1=Y 0=N</t>
  </si>
  <si>
    <t>PAYPAL</t>
  </si>
  <si>
    <t>TOTAL INC</t>
  </si>
  <si>
    <t>NAME</t>
  </si>
  <si>
    <t>SITE</t>
  </si>
  <si>
    <t>DATES</t>
  </si>
  <si>
    <t>People</t>
  </si>
  <si>
    <t>RENT</t>
  </si>
  <si>
    <t>DEPOSIT</t>
  </si>
  <si>
    <t>BALANCE</t>
  </si>
  <si>
    <t>DUE</t>
  </si>
  <si>
    <t>A/D/F1/B/F2/T</t>
  </si>
  <si>
    <t>NET</t>
  </si>
  <si>
    <t>REPAIRS</t>
  </si>
  <si>
    <t>GREET</t>
  </si>
  <si>
    <t>NET NET</t>
  </si>
  <si>
    <t>HR</t>
  </si>
  <si>
    <t>19 Jun to 3 Jul</t>
  </si>
  <si>
    <t>5  inc 3 children 10,10 and 16</t>
  </si>
  <si>
    <r>
      <t xml:space="preserve">Clean </t>
    </r>
    <r>
      <rPr>
        <sz val="10"/>
        <color indexed="10"/>
        <rFont val="Verdana"/>
        <family val="2"/>
      </rPr>
      <t xml:space="preserve">ENTRY &amp; Exit </t>
    </r>
  </si>
  <si>
    <t>Now</t>
  </si>
  <si>
    <t>8 inc 2 children</t>
  </si>
  <si>
    <r>
      <t xml:space="preserve">Clean </t>
    </r>
    <r>
      <rPr>
        <sz val="10"/>
        <color indexed="10"/>
        <rFont val="Verdana"/>
        <family val="2"/>
      </rPr>
      <t>Exit ONLY</t>
    </r>
  </si>
  <si>
    <t>EMAIL</t>
  </si>
  <si>
    <t>Justin List</t>
  </si>
  <si>
    <t>28 July to 4 August</t>
  </si>
  <si>
    <t>4 Inc 2 children</t>
  </si>
  <si>
    <t>little_redhouse @ hotmail.com</t>
  </si>
  <si>
    <t>NA</t>
  </si>
  <si>
    <t xml:space="preserve"> Feb 25-11</t>
  </si>
  <si>
    <t>Dos Santos (no meet and greet)</t>
  </si>
  <si>
    <t>dagfinnh@gmail.com</t>
  </si>
  <si>
    <t>justinlist@me.com</t>
  </si>
  <si>
    <t>John Brezovsky</t>
  </si>
  <si>
    <t>johnnobonno@aol.com</t>
  </si>
  <si>
    <t>8 oct 15 oct</t>
  </si>
  <si>
    <t>j_helweg@hotmail.com</t>
  </si>
  <si>
    <t>Julie Helweg</t>
  </si>
  <si>
    <t>Heat</t>
  </si>
  <si>
    <t>Bikes</t>
  </si>
  <si>
    <t>Pool</t>
  </si>
  <si>
    <t>Y</t>
  </si>
  <si>
    <t>A/D/F1</t>
  </si>
  <si>
    <t>N</t>
  </si>
  <si>
    <t>Dagfinn Haakonsen</t>
  </si>
  <si>
    <t>Paul  Ward</t>
  </si>
  <si>
    <t>pgkward@gmail.com</t>
  </si>
  <si>
    <t>OD</t>
  </si>
  <si>
    <t>9 august to 22 August</t>
  </si>
  <si>
    <t>3 inc 1 child</t>
  </si>
  <si>
    <t>9 inc 4 children</t>
  </si>
  <si>
    <t>alijg76@yahoo.co.uk</t>
  </si>
  <si>
    <t>Apr 10-11</t>
  </si>
  <si>
    <t>Jul 5-10</t>
  </si>
  <si>
    <t>Nick Fister</t>
  </si>
  <si>
    <t>jnfister@yahoo.com</t>
  </si>
  <si>
    <t>Feb 01-11</t>
  </si>
  <si>
    <t>Linda Lyucett</t>
  </si>
  <si>
    <t>6 sep to 18 sep 2010</t>
  </si>
  <si>
    <t>lalycett@yahoo.co.uk</t>
  </si>
  <si>
    <t>4 inc 2 children</t>
  </si>
  <si>
    <t>Jul 12-10</t>
  </si>
  <si>
    <t xml:space="preserve">3 Inc 1 child </t>
  </si>
  <si>
    <t>Wendy Frost</t>
  </si>
  <si>
    <t>wendyfrost20@hotmail.com</t>
  </si>
  <si>
    <t>17 oct to  31 oct</t>
  </si>
  <si>
    <t>6 inc 2 children</t>
  </si>
  <si>
    <t>Aug 22-10</t>
  </si>
  <si>
    <t>Dos Santos</t>
  </si>
  <si>
    <t>3 Inc 1 child</t>
  </si>
  <si>
    <t>Dos  Santos</t>
  </si>
  <si>
    <t>greg cottingham</t>
  </si>
  <si>
    <t>Jan 15-11</t>
  </si>
  <si>
    <t>Al@Americansweets.co.uk</t>
  </si>
  <si>
    <t>Al Baker</t>
  </si>
  <si>
    <t>??</t>
  </si>
  <si>
    <t>3 incl 1 chikd</t>
  </si>
  <si>
    <t>27 Aug to 3 Sep</t>
  </si>
  <si>
    <t>Jul 15-10</t>
  </si>
  <si>
    <t>3 inc 1 children</t>
  </si>
  <si>
    <t>Aug 20-10</t>
  </si>
  <si>
    <t>ORIGINAL COSTS</t>
  </si>
  <si>
    <t>CLEAN EVERY 2 WEEKS + HOUSE WATCH</t>
  </si>
  <si>
    <t>blonde205@hotmail.com</t>
  </si>
  <si>
    <t>5 inc 3 children</t>
  </si>
  <si>
    <t>Smantha  Copple</t>
  </si>
  <si>
    <t>Neville Chesworth</t>
  </si>
  <si>
    <t>nevillechesworth@hotmail.com</t>
  </si>
  <si>
    <t>22 Nov to 29 Nov 2010</t>
  </si>
  <si>
    <t>2 inc 0 children</t>
  </si>
  <si>
    <t>Sept 27-10</t>
  </si>
  <si>
    <t>Annie Peryra</t>
  </si>
  <si>
    <t>Mar 6-11</t>
  </si>
  <si>
    <t xml:space="preserve">INTERIM CLEAN MAY 4 + Clean ON EXIT </t>
  </si>
  <si>
    <t>4 inc 0 children</t>
  </si>
  <si>
    <t>apereyra@optonline.net</t>
  </si>
  <si>
    <t>wnewsome@blueyonder.co.uk</t>
  </si>
  <si>
    <t>Wayne Newsome</t>
  </si>
  <si>
    <t>1  Oct to 8 Oct</t>
  </si>
  <si>
    <t>Aug 6-10</t>
  </si>
  <si>
    <t>ines1973@hotmail.co.uk</t>
  </si>
  <si>
    <t>Andy Colbridge</t>
  </si>
  <si>
    <t>6 Inc 2 Children</t>
  </si>
  <si>
    <t>May 14-11</t>
  </si>
  <si>
    <t>#</t>
  </si>
  <si>
    <t>Nights</t>
  </si>
  <si>
    <t>13 Nov to 19 Nov 10</t>
  </si>
  <si>
    <t>Weeks:</t>
  </si>
  <si>
    <t>Nights:</t>
  </si>
  <si>
    <t>A/D/F1/B/F2/T APPL TO NEXT YER</t>
  </si>
  <si>
    <t>colinrann5@yahoo.co.uk</t>
  </si>
  <si>
    <t xml:space="preserve"> PAY PAL 3.9%? 1=Y 0=N</t>
  </si>
  <si>
    <t>Sep 16-10</t>
  </si>
  <si>
    <t>4 Nov to 13 Nov</t>
  </si>
  <si>
    <t>20 Nov  to 21 Nov 2010</t>
  </si>
  <si>
    <t>Us Nights</t>
  </si>
  <si>
    <t>Us Weeks</t>
  </si>
  <si>
    <t>Rented Nights</t>
  </si>
  <si>
    <t>Rented Weeks</t>
  </si>
  <si>
    <t>D/A/F1/B/F2/RI/T</t>
  </si>
  <si>
    <t>Per week NET NET</t>
  </si>
  <si>
    <t>Jun-3-11</t>
  </si>
  <si>
    <t>daniel.cronin@hotmail.co.uk</t>
  </si>
  <si>
    <t>Daniel Cronin</t>
  </si>
  <si>
    <t>QUOTED</t>
  </si>
  <si>
    <t>BANK OR</t>
  </si>
  <si>
    <r>
      <t>BANK</t>
    </r>
    <r>
      <rPr>
        <b/>
        <sz val="18"/>
        <color indexed="10"/>
        <rFont val="Calibri"/>
        <family val="2"/>
      </rPr>
      <t xml:space="preserve"> OR</t>
    </r>
  </si>
  <si>
    <t>PER</t>
  </si>
  <si>
    <t>PERSON</t>
  </si>
  <si>
    <t>5 inc 1 child</t>
  </si>
  <si>
    <t>Collin Ran</t>
  </si>
  <si>
    <t>22 Sep to 29 Sep</t>
  </si>
  <si>
    <t>Martin Smith</t>
  </si>
  <si>
    <t>bastoad@hotmail.com</t>
  </si>
  <si>
    <t>Jul-28-11</t>
  </si>
  <si>
    <t>DISCOUNT</t>
  </si>
  <si>
    <t>BASE</t>
  </si>
  <si>
    <t>Rolland Lavallee</t>
  </si>
  <si>
    <t>ray.lavallee@verizon.net</t>
  </si>
  <si>
    <t>Dec 7-10</t>
  </si>
  <si>
    <t>toddbonin@hotmail.com</t>
  </si>
  <si>
    <t>OR</t>
  </si>
  <si>
    <t>NOW</t>
  </si>
  <si>
    <t>Karel Van Roten</t>
  </si>
  <si>
    <t>karel.van.roten@telenet.be</t>
  </si>
  <si>
    <t>18  Dec to 25 Dec 2010</t>
  </si>
  <si>
    <t>26 dec to 30 dec 2010</t>
  </si>
  <si>
    <t>Todd bonin</t>
  </si>
  <si>
    <t>A/D/F1/B/F2</t>
  </si>
  <si>
    <t>D/A/F1/B/F2/T</t>
  </si>
  <si>
    <t>DONE</t>
  </si>
  <si>
    <t>24 Jun to 8 Jul</t>
  </si>
  <si>
    <t>4 inc 1 child</t>
  </si>
  <si>
    <t>Apr 29-11</t>
  </si>
  <si>
    <t>laura_alice@hotmail.co.uk</t>
  </si>
  <si>
    <t>Graham Robson</t>
  </si>
  <si>
    <t>A/D/F1/B/F2/R/T</t>
  </si>
  <si>
    <t>A/D/F1/F2/T</t>
  </si>
  <si>
    <t>millmanjacqueline@hotmail.co.uk</t>
  </si>
  <si>
    <t>Jackie Milman</t>
  </si>
  <si>
    <t>1 Inc 0 children</t>
  </si>
  <si>
    <t>Dorothy Lyons</t>
  </si>
  <si>
    <t>dvlyons@charter.net</t>
  </si>
  <si>
    <t>19 Mar 25 Mar</t>
  </si>
  <si>
    <r>
      <t xml:space="preserve">5 Dec to </t>
    </r>
    <r>
      <rPr>
        <b/>
        <sz val="11"/>
        <color indexed="10"/>
        <rFont val="Calibri"/>
        <family val="2"/>
      </rPr>
      <t>16 dec</t>
    </r>
  </si>
  <si>
    <t>BANK</t>
  </si>
  <si>
    <t>FK</t>
  </si>
  <si>
    <t>Sabine.krumm08@yahoo.de</t>
  </si>
  <si>
    <t>Sabine Krumm</t>
  </si>
  <si>
    <t>17 Oct to 28 Oct</t>
  </si>
  <si>
    <t>6 inc 0 children</t>
  </si>
  <si>
    <t>Jul 18-11</t>
  </si>
  <si>
    <t>Stan Gill</t>
  </si>
  <si>
    <t>22 Nov 2 Dec</t>
  </si>
  <si>
    <t>3 Inc 1 Child</t>
  </si>
  <si>
    <t>31 May 15 Jun</t>
  </si>
  <si>
    <t>2 Inc 0 Children</t>
  </si>
  <si>
    <r>
      <t xml:space="preserve">Clean </t>
    </r>
    <r>
      <rPr>
        <sz val="10"/>
        <color indexed="10"/>
        <rFont val="Verdana"/>
        <family val="2"/>
      </rPr>
      <t xml:space="preserve">Exit </t>
    </r>
    <r>
      <rPr>
        <b/>
        <sz val="10"/>
        <color indexed="10"/>
        <rFont val="Verdana"/>
        <family val="2"/>
      </rPr>
      <t>FAST TURNAROUND</t>
    </r>
  </si>
  <si>
    <t>Annie Prreyra</t>
  </si>
  <si>
    <t>8 Mar to 12 Mar</t>
  </si>
  <si>
    <t>2 Sep to 16 Sep</t>
  </si>
  <si>
    <t>annejwalker52@yahoo.co.uk</t>
  </si>
  <si>
    <t>Anne Walker</t>
  </si>
  <si>
    <t>HL</t>
  </si>
  <si>
    <t>Jul-8-11</t>
  </si>
  <si>
    <t>stuart.reiken@lincfs.com</t>
  </si>
  <si>
    <t>Stuart reiken</t>
  </si>
  <si>
    <t>8 inc 4 children</t>
  </si>
  <si>
    <t xml:space="preserve"> </t>
  </si>
  <si>
    <t>Jun-18-11</t>
  </si>
  <si>
    <t>Judy Mullett</t>
  </si>
  <si>
    <t>jcerettmullett@hotmail.com</t>
  </si>
  <si>
    <t>17 Jun to 24 Jun</t>
  </si>
  <si>
    <t>4 Inc 3 Children</t>
  </si>
  <si>
    <t>Apr-22-11</t>
  </si>
  <si>
    <t>SCByersFamily@aol.com</t>
  </si>
  <si>
    <t>1 Mar to 15</t>
  </si>
  <si>
    <t>Jan 4-12</t>
  </si>
  <si>
    <t>johnparker@freezone.co.uk</t>
  </si>
  <si>
    <t>Sep 10-11</t>
  </si>
  <si>
    <t>Wks</t>
  </si>
  <si>
    <t>Rented Nights:</t>
  </si>
  <si>
    <t>Net Per Week:</t>
  </si>
  <si>
    <t>PRICE</t>
  </si>
  <si>
    <t>2009 OLD</t>
  </si>
  <si>
    <t>2008 VERY</t>
  </si>
  <si>
    <t>PRICES</t>
  </si>
  <si>
    <t>CURRENT WANTED</t>
  </si>
  <si>
    <t>AVERAGE:</t>
  </si>
  <si>
    <t>NONE</t>
  </si>
  <si>
    <t>INSERTABLE ROW</t>
  </si>
  <si>
    <t>TRANSFER</t>
  </si>
  <si>
    <t>CHARGE</t>
  </si>
  <si>
    <t>1=B 2=PP</t>
  </si>
  <si>
    <t xml:space="preserve">INTERIM CLEAN MAY 19 + Clean ON EXIT </t>
  </si>
  <si>
    <t>1 Jan 2011 to 28 Feb</t>
  </si>
  <si>
    <t>1 Mar to 8 mar</t>
  </si>
  <si>
    <t>12 Mar to 19 March</t>
  </si>
  <si>
    <t>25 Mar to 27 Mar</t>
  </si>
  <si>
    <t>29 Mar to 12 Apr</t>
  </si>
  <si>
    <t>15 April to 22 April</t>
  </si>
  <si>
    <t>22 April to 29 april</t>
  </si>
  <si>
    <t xml:space="preserve">1 May to 8 May </t>
  </si>
  <si>
    <t>9 May to29 May</t>
  </si>
  <si>
    <t>5 to 16 june</t>
  </si>
  <si>
    <t>9 Jul  to 16 Jul</t>
  </si>
  <si>
    <t>20 Jul to 29 Jul</t>
  </si>
  <si>
    <t>29 Jul to Aug 5</t>
  </si>
  <si>
    <t>13 Aug to 27 Aug</t>
  </si>
  <si>
    <t xml:space="preserve">7 oct to 10 oct </t>
  </si>
  <si>
    <t xml:space="preserve">26 dec to 31 dec </t>
  </si>
  <si>
    <t xml:space="preserve">1 Jan to 29 Feb </t>
  </si>
  <si>
    <t>5 Nov to 10 Nov</t>
  </si>
  <si>
    <t>10 Nov to 13 Nov</t>
  </si>
  <si>
    <t>TO BE</t>
  </si>
  <si>
    <t>WEB SITE</t>
  </si>
  <si>
    <t>Apr-5-12</t>
  </si>
  <si>
    <r>
      <t xml:space="preserve">3 inc 1 child </t>
    </r>
    <r>
      <rPr>
        <b/>
        <sz val="11"/>
        <color indexed="10"/>
        <rFont val="Calibri"/>
        <family val="2"/>
      </rPr>
      <t>(RC)</t>
    </r>
  </si>
  <si>
    <t xml:space="preserve"> Total </t>
  </si>
  <si>
    <t>WHEN ENTERING A NEW YEAR MANY HIDDEN COLUMNS AND FORMULAS MUST BE EDITED</t>
  </si>
  <si>
    <t>Still to come</t>
  </si>
  <si>
    <t>7 July to 22 July</t>
  </si>
  <si>
    <t>Alison Gibbons</t>
  </si>
  <si>
    <r>
      <t>8 Inc 2 children (</t>
    </r>
    <r>
      <rPr>
        <sz val="11"/>
        <color indexed="10"/>
        <rFont val="Calibri"/>
        <family val="2"/>
      </rPr>
      <t>Flex Guests</t>
    </r>
    <r>
      <rPr>
        <sz val="11"/>
        <color theme="1"/>
        <rFont val="Calibri"/>
        <family val="2"/>
        <scheme val="minor"/>
      </rPr>
      <t>)</t>
    </r>
  </si>
  <si>
    <t>Amanda &amp; john parker</t>
  </si>
  <si>
    <t>greg@cottingham.ca,  greg.cottingham@rogers.com</t>
  </si>
  <si>
    <t>A/D/F1/B/F2/RR/T</t>
  </si>
  <si>
    <t>dhill@williamblair.com</t>
  </si>
  <si>
    <t>6 Aug to 13 Aug</t>
  </si>
  <si>
    <t>y</t>
  </si>
  <si>
    <t>Jun-11-11</t>
  </si>
  <si>
    <t>Joanna Boughey</t>
  </si>
  <si>
    <t>joanna_boughey@hotmail.com</t>
  </si>
  <si>
    <t>Mar 31 to 7 Apr</t>
  </si>
  <si>
    <t>Feb 4-12</t>
  </si>
  <si>
    <t>JoAnn Marchant</t>
  </si>
  <si>
    <t>13 Nov to 20 Nov</t>
  </si>
  <si>
    <t>Sep 18-11</t>
  </si>
  <si>
    <t>randi222@roadrunner.com petermarchant@me.com</t>
  </si>
  <si>
    <t>lounduncs@me.com </t>
  </si>
  <si>
    <t>20 Dec to 26 Dec</t>
  </si>
  <si>
    <t>9 Inc 3 Children</t>
  </si>
  <si>
    <t>masterslmm@yahoo.co.uk</t>
  </si>
  <si>
    <r>
      <t>Louise Bull</t>
    </r>
    <r>
      <rPr>
        <sz val="11"/>
        <color indexed="10"/>
        <rFont val="Calibri"/>
        <family val="2"/>
      </rPr>
      <t xml:space="preserve"> NEEDS ADD POOL RELEASES</t>
    </r>
  </si>
  <si>
    <t>Na</t>
  </si>
  <si>
    <t>D/A/F1/B/F2/RR/T</t>
  </si>
  <si>
    <t>Sarah Robertson</t>
  </si>
  <si>
    <t>robertson.sarah@talktalk.net</t>
  </si>
  <si>
    <t>12 Dec 20 Dec</t>
  </si>
  <si>
    <t>17-Oc</t>
  </si>
  <si>
    <t>Louise Masters</t>
  </si>
  <si>
    <t>Apr 7 to Apr 13</t>
  </si>
  <si>
    <t>Feb 11-12</t>
  </si>
  <si>
    <t>Brian Reid</t>
  </si>
  <si>
    <t>brian.reid@pcbank.ca</t>
  </si>
  <si>
    <t>21 Jul to 4 Aug</t>
  </si>
  <si>
    <t>May 26-12</t>
  </si>
  <si>
    <t>21 Nov to 25 Nov</t>
  </si>
  <si>
    <t>26 dec to 30 dec 2012</t>
  </si>
  <si>
    <t>jackoneill2@hotmail.com</t>
  </si>
  <si>
    <t>29 Oct to 5 Nov</t>
  </si>
  <si>
    <t>jacqueline fahy O'neil</t>
  </si>
  <si>
    <t>conny.elisabeth@tele2.se</t>
  </si>
  <si>
    <t>Mar-10-12</t>
  </si>
  <si>
    <t>Elisabeth O Conny</t>
  </si>
  <si>
    <t>Apr 21 to May 5</t>
  </si>
  <si>
    <r>
      <t>6 Inc 2 children</t>
    </r>
    <r>
      <rPr>
        <b/>
        <sz val="11"/>
        <color indexed="10"/>
        <rFont val="Calibri"/>
        <family val="2"/>
      </rPr>
      <t xml:space="preserve"> (RC)</t>
    </r>
  </si>
  <si>
    <t>Feb 25-12</t>
  </si>
  <si>
    <t>Apr-20-12</t>
  </si>
  <si>
    <t>Ken Faulkner</t>
  </si>
  <si>
    <t>lightingforyou1@aol.com</t>
  </si>
  <si>
    <t>10 May to 26 May</t>
  </si>
  <si>
    <t>Mar 15-13</t>
  </si>
  <si>
    <t>Hugh Matson</t>
  </si>
  <si>
    <t>hughjmatson@aol.com</t>
  </si>
  <si>
    <t>2 Sep to 15 Sep</t>
  </si>
  <si>
    <t>Jul  8-12</t>
  </si>
  <si>
    <t>gary.twells@ntlworld.com</t>
  </si>
  <si>
    <t>Gary Wells</t>
  </si>
  <si>
    <t>29 Oct to 15 Nov</t>
  </si>
  <si>
    <t>Sep 3-12</t>
  </si>
  <si>
    <t>Apr 13 to Apr 21</t>
  </si>
  <si>
    <t>Jun-10-12</t>
  </si>
  <si>
    <t>Marianne Meijer</t>
  </si>
  <si>
    <t>18 to 26 Oct 2012</t>
  </si>
  <si>
    <t>Aug 23-12</t>
  </si>
  <si>
    <t>4 Aug to 19 Aug</t>
  </si>
  <si>
    <r>
      <t xml:space="preserve">Scott Byers </t>
    </r>
    <r>
      <rPr>
        <b/>
        <sz val="11"/>
        <color rgb="FFFF0000"/>
        <rFont val="Calibri"/>
        <family val="2"/>
        <scheme val="minor"/>
      </rPr>
      <t>(LATE &gt;3PM CHECKOUT)</t>
    </r>
  </si>
  <si>
    <r>
      <t>A/D/F1/B/F2/FI/</t>
    </r>
    <r>
      <rPr>
        <sz val="11"/>
        <color rgb="FFFF0000"/>
        <rFont val="Calibri"/>
        <family val="2"/>
        <scheme val="minor"/>
      </rPr>
      <t>RR/</t>
    </r>
    <r>
      <rPr>
        <sz val="11"/>
        <rFont val="Calibri"/>
        <family val="2"/>
        <scheme val="minor"/>
      </rPr>
      <t>T</t>
    </r>
  </si>
  <si>
    <r>
      <t>A/D/F1-</t>
    </r>
    <r>
      <rPr>
        <b/>
        <sz val="11"/>
        <color rgb="FFFF0000"/>
        <rFont val="Calibri"/>
        <family val="2"/>
        <scheme val="minor"/>
      </rPr>
      <t>CANCELED AND REFUNDED</t>
    </r>
  </si>
  <si>
    <t>wimmer@kastl-kollegen.com</t>
  </si>
  <si>
    <t>6 inc 4 children</t>
  </si>
  <si>
    <t>June-17-12</t>
  </si>
  <si>
    <r>
      <t>A/D/F1/B/F2/FI//</t>
    </r>
    <r>
      <rPr>
        <sz val="11"/>
        <color rgb="FFFF0000"/>
        <rFont val="Calibri"/>
        <family val="2"/>
        <scheme val="minor"/>
      </rPr>
      <t>RR</t>
    </r>
    <r>
      <rPr>
        <sz val="11"/>
        <rFont val="Calibri"/>
        <family val="2"/>
        <scheme val="minor"/>
      </rPr>
      <t>/T</t>
    </r>
  </si>
  <si>
    <r>
      <t>A/D/F1/B/F2/FF</t>
    </r>
    <r>
      <rPr>
        <sz val="11"/>
        <color rgb="FFFF0000"/>
        <rFont val="Calibri"/>
        <family val="2"/>
        <scheme val="minor"/>
      </rPr>
      <t>/RR</t>
    </r>
    <r>
      <rPr>
        <sz val="11"/>
        <color theme="1"/>
        <rFont val="Calibri"/>
        <family val="2"/>
        <scheme val="minor"/>
      </rPr>
      <t>/</t>
    </r>
    <r>
      <rPr>
        <sz val="11"/>
        <color rgb="FFFF0000"/>
        <rFont val="Calibri"/>
        <family val="2"/>
        <scheme val="minor"/>
      </rPr>
      <t>T/SR/</t>
    </r>
  </si>
  <si>
    <t>2 Dec to 12 Dec</t>
  </si>
  <si>
    <r>
      <t>Alison Gibbons</t>
    </r>
    <r>
      <rPr>
        <b/>
        <sz val="11"/>
        <color rgb="FFFF0000"/>
        <rFont val="Calibri"/>
        <family val="2"/>
        <scheme val="minor"/>
      </rPr>
      <t xml:space="preserve"> (RETURN CLIENT)</t>
    </r>
  </si>
  <si>
    <r>
      <t xml:space="preserve">Darrell Hill  </t>
    </r>
    <r>
      <rPr>
        <sz val="11"/>
        <color indexed="10"/>
        <rFont val="Calibri"/>
        <family val="2"/>
      </rPr>
      <t xml:space="preserve">Canceled </t>
    </r>
  </si>
  <si>
    <t xml:space="preserve"> remeijer@ziggo.nl &lt;-----------   That is the pay pal one info@babymoonandco.nl</t>
  </si>
  <si>
    <r>
      <t>Johann Wimmer (</t>
    </r>
    <r>
      <rPr>
        <sz val="11"/>
        <color rgb="FFFF0000"/>
        <rFont val="Calibri"/>
        <family val="2"/>
        <scheme val="minor"/>
      </rPr>
      <t>LEAVING LATE CLEAN NEXT DAY</t>
    </r>
    <r>
      <rPr>
        <sz val="11"/>
        <color theme="1"/>
        <rFont val="Calibri"/>
        <family val="2"/>
        <scheme val="minor"/>
      </rPr>
      <t>)</t>
    </r>
  </si>
  <si>
    <r>
      <t xml:space="preserve">19 Aug to </t>
    </r>
    <r>
      <rPr>
        <b/>
        <sz val="11"/>
        <color rgb="FFFF0000"/>
        <rFont val="Calibri"/>
        <family val="2"/>
        <scheme val="minor"/>
      </rPr>
      <t>1 Sep</t>
    </r>
  </si>
  <si>
    <t>A/D/F1/B/F2/FI/REC/RR/T</t>
  </si>
  <si>
    <t>7 Inc 0 Children</t>
  </si>
  <si>
    <t>Apr-28-12</t>
  </si>
  <si>
    <t>barbhawkins1@gmail.com PAYPAL agstudley@aol.com</t>
  </si>
  <si>
    <t>Current</t>
  </si>
  <si>
    <t>To be imputed to web sites</t>
  </si>
  <si>
    <t>Next action</t>
  </si>
  <si>
    <t>Immediate action expected</t>
  </si>
  <si>
    <t>A/D/F1/B/F2/REC/FI/REQUESTED BANK INFO</t>
  </si>
  <si>
    <t>Michael Petronko</t>
  </si>
  <si>
    <t>mpetronk@rci.rutgers.edu</t>
  </si>
  <si>
    <t>16 March to 30 March</t>
  </si>
  <si>
    <t>7 including 3 children</t>
  </si>
  <si>
    <t>Jan 20-12</t>
  </si>
  <si>
    <t>ros_stan@btinternet.com stan@gill54.fsworld.co.uk</t>
  </si>
  <si>
    <t>Awaiting rev to do transfer</t>
  </si>
  <si>
    <t>A/D/F1/B/F2/REC/FI/RR/T</t>
  </si>
  <si>
    <t>Collier</t>
  </si>
  <si>
    <t>Florida</t>
  </si>
  <si>
    <t>Quarter</t>
  </si>
  <si>
    <t>1-2-3-4</t>
  </si>
  <si>
    <t>Q1</t>
  </si>
  <si>
    <t>Q2</t>
  </si>
  <si>
    <t>Q3</t>
  </si>
  <si>
    <t>Q4</t>
  </si>
  <si>
    <t xml:space="preserve">Barb Hawkins </t>
  </si>
  <si>
    <t>Angela Taibi</t>
  </si>
  <si>
    <t>t.taibi@btinternet.com</t>
  </si>
  <si>
    <t>7 inc 3 children</t>
  </si>
  <si>
    <t>Feb 3-13</t>
  </si>
  <si>
    <r>
      <t>5 inc 1 child</t>
    </r>
    <r>
      <rPr>
        <b/>
        <sz val="11"/>
        <color rgb="FFFF0000"/>
        <rFont val="Calibri"/>
        <family val="2"/>
        <scheme val="minor"/>
      </rPr>
      <t xml:space="preserve"> (RC)</t>
    </r>
  </si>
  <si>
    <t>A/D/F2/B/DONE/REC/FI/T</t>
  </si>
  <si>
    <t>7 Jul to 21 Jul</t>
  </si>
  <si>
    <t>Tammy Wright</t>
  </si>
  <si>
    <t>twright@williams.edu</t>
  </si>
  <si>
    <t>HA</t>
  </si>
  <si>
    <t>30 Jun to 7 Jul</t>
  </si>
  <si>
    <t>May-4-12</t>
  </si>
  <si>
    <t>15 June to 23 June</t>
  </si>
  <si>
    <r>
      <t>Judy Cerett Mullett</t>
    </r>
    <r>
      <rPr>
        <sz val="11"/>
        <color rgb="FFFF0000"/>
        <rFont val="Calibri"/>
        <family val="2"/>
        <scheme val="minor"/>
      </rPr>
      <t xml:space="preserve">  (RETURN CLIENT)</t>
    </r>
  </si>
  <si>
    <t>Christine Euesden</t>
  </si>
  <si>
    <t>17 Sep to 24 Sep</t>
  </si>
  <si>
    <t>Jul-23-12</t>
  </si>
  <si>
    <t>6 inc visitors</t>
  </si>
  <si>
    <t>15 Mar to 25 Mar</t>
  </si>
  <si>
    <t>Joshuadalley@hotmail.com</t>
  </si>
  <si>
    <t>christine_euesden@hotmail.co.uk  FOR PAYPAL USE: neil.euesden@pinnacle-psg.com</t>
  </si>
  <si>
    <t>Jan-17-13</t>
  </si>
  <si>
    <t>12 Apr to 21 Apr</t>
  </si>
  <si>
    <r>
      <t xml:space="preserve">Paul  Ward </t>
    </r>
    <r>
      <rPr>
        <sz val="11"/>
        <color rgb="FFFF0000"/>
        <rFont val="Calibri"/>
        <family val="2"/>
        <scheme val="minor"/>
      </rPr>
      <t xml:space="preserve"> (RETURN CLIENT)</t>
    </r>
  </si>
  <si>
    <r>
      <t xml:space="preserve">Nick Fister </t>
    </r>
    <r>
      <rPr>
        <sz val="11"/>
        <color rgb="FFFF0000"/>
        <rFont val="Calibri"/>
        <family val="2"/>
      </rPr>
      <t>(RETURN CLIENT)</t>
    </r>
  </si>
  <si>
    <r>
      <t xml:space="preserve">6 Inc 4 Children </t>
    </r>
    <r>
      <rPr>
        <b/>
        <sz val="11"/>
        <color rgb="FFFF0000"/>
        <rFont val="Calibri"/>
        <family val="2"/>
        <scheme val="minor"/>
      </rPr>
      <t>(RC)</t>
    </r>
  </si>
  <si>
    <r>
      <t xml:space="preserve">Clean </t>
    </r>
    <r>
      <rPr>
        <sz val="10"/>
        <color indexed="10"/>
        <rFont val="Verdana"/>
        <family val="2"/>
      </rPr>
      <t>Every 2 weeks</t>
    </r>
  </si>
  <si>
    <t>A/D/F1/B/F2/REC/FI/T</t>
  </si>
  <si>
    <t>9 to 18 Oct</t>
  </si>
  <si>
    <t>10 inc 2 children</t>
  </si>
  <si>
    <t>Aug-14-12</t>
  </si>
  <si>
    <t>Pauline Reale Sabino</t>
  </si>
  <si>
    <t>pauline.reale@gmail.com for PayPal -&gt; reale@metrocast.net  Emanuel Reale</t>
  </si>
  <si>
    <t>Clean Exit ONLY</t>
  </si>
  <si>
    <r>
      <rPr>
        <b/>
        <sz val="11"/>
        <color rgb="FFFF0000"/>
        <rFont val="Calibri"/>
        <family val="2"/>
        <scheme val="minor"/>
      </rPr>
      <t>23</t>
    </r>
    <r>
      <rPr>
        <sz val="11"/>
        <color theme="1"/>
        <rFont val="Calibri"/>
        <family val="2"/>
        <scheme val="minor"/>
      </rPr>
      <t xml:space="preserve"> May 28 May</t>
    </r>
  </si>
  <si>
    <t>Andrew Zura</t>
  </si>
  <si>
    <t>zuraa@ccf.org</t>
  </si>
  <si>
    <r>
      <t>18 to 23 Dec</t>
    </r>
    <r>
      <rPr>
        <b/>
        <sz val="11"/>
        <color rgb="FFFF0000"/>
        <rFont val="Calibri"/>
        <family val="2"/>
        <scheme val="minor"/>
      </rPr>
      <t xml:space="preserve"> LEAVING LATE 5PM</t>
    </r>
  </si>
  <si>
    <t>5 inc 2 children</t>
  </si>
  <si>
    <t>Oct-23-12</t>
  </si>
  <si>
    <t>5 inc 0 children</t>
  </si>
  <si>
    <r>
      <t>5 May 19 May</t>
    </r>
    <r>
      <rPr>
        <b/>
        <sz val="11"/>
        <color rgb="FFFF0000"/>
        <rFont val="Calibri"/>
        <family val="2"/>
        <scheme val="minor"/>
      </rPr>
      <t xml:space="preserve"> WAITING REVIEW</t>
    </r>
  </si>
  <si>
    <t>5 Mar to 15 Mar</t>
  </si>
  <si>
    <t>Marc Tocatlian</t>
  </si>
  <si>
    <t>Marc.TOCATLIAN@oecd.org</t>
  </si>
  <si>
    <t>Jan-8-13</t>
  </si>
  <si>
    <t>Adam Howell</t>
  </si>
  <si>
    <t>adam.n.portia@juno.com</t>
  </si>
  <si>
    <r>
      <t xml:space="preserve">9 to 18 Dec  </t>
    </r>
    <r>
      <rPr>
        <b/>
        <sz val="11"/>
        <color rgb="FFFF0000"/>
        <rFont val="Calibri"/>
        <family val="2"/>
        <scheme val="minor"/>
      </rPr>
      <t>MUST ARRANGE 1 DOZEN RED + 1 DOZEN YELLOW ROSES IN VASES + 1 BOTTLE CHAMPAGN</t>
    </r>
  </si>
  <si>
    <t>Oct-14-12</t>
  </si>
  <si>
    <t>5 Apr to 19 Apr</t>
  </si>
  <si>
    <t>Nov 26 to Dec 1</t>
  </si>
  <si>
    <t>9 inc 3 children</t>
  </si>
  <si>
    <t>bruijs@caiw.nl</t>
  </si>
  <si>
    <t xml:space="preserve">Joop Bruijstens </t>
  </si>
  <si>
    <t>Mar 8-13</t>
  </si>
  <si>
    <t>D/A/F1/B/F2/RR/Eater failed send back + 100</t>
  </si>
  <si>
    <r>
      <t xml:space="preserve">23 Jun to 30 Jun </t>
    </r>
    <r>
      <rPr>
        <b/>
        <sz val="11"/>
        <color rgb="FFFF0000"/>
        <rFont val="Calibri"/>
        <family val="2"/>
        <scheme val="minor"/>
      </rPr>
      <t>WAITING REVIEW</t>
    </r>
  </si>
  <si>
    <t>goldenhonie@sbcglobal.net</t>
  </si>
  <si>
    <t>Deanna Golden</t>
  </si>
  <si>
    <t>Mar 8 to Mar 15</t>
  </si>
  <si>
    <r>
      <t>A/D/F1/B/F2/</t>
    </r>
    <r>
      <rPr>
        <sz val="11"/>
        <color rgb="FFFF0000"/>
        <rFont val="Calibri"/>
        <family val="2"/>
        <scheme val="minor"/>
      </rPr>
      <t>RR</t>
    </r>
    <r>
      <rPr>
        <sz val="11"/>
        <color theme="1"/>
        <rFont val="Calibri"/>
        <family val="2"/>
        <scheme val="minor"/>
      </rPr>
      <t>/T</t>
    </r>
  </si>
  <si>
    <t>26 Oct to 28 Oct</t>
  </si>
  <si>
    <r>
      <t>15 Sep to 17 Sep</t>
    </r>
    <r>
      <rPr>
        <b/>
        <sz val="11"/>
        <color rgb="FFFF0000"/>
        <rFont val="Calibri"/>
        <family val="2"/>
        <scheme val="minor"/>
      </rPr>
      <t xml:space="preserve"> (ARRIVING 10AM SATYING ON THE BOAT THE NIGHT BEFORE)</t>
    </r>
  </si>
  <si>
    <t>Edward Peery</t>
  </si>
  <si>
    <t>edward.peery@gmail.com</t>
  </si>
  <si>
    <t>June 2 to June 16</t>
  </si>
  <si>
    <t>Jean armstrong</t>
  </si>
  <si>
    <t>armstrongjean52@yahoo.co.uk</t>
  </si>
  <si>
    <t>24 Apr to 1 May</t>
  </si>
  <si>
    <t>Feb 27-13</t>
  </si>
  <si>
    <t xml:space="preserve">Carlos &amp; Sarah Pereira </t>
  </si>
  <si>
    <t>25 Nov to Dec 8</t>
  </si>
  <si>
    <t>3 inc 0 children</t>
  </si>
  <si>
    <r>
      <t>1 to 8 oct 2012</t>
    </r>
    <r>
      <rPr>
        <b/>
        <sz val="11"/>
        <color rgb="FFFF0000"/>
        <rFont val="Calibri"/>
        <family val="2"/>
        <scheme val="minor"/>
      </rPr>
      <t xml:space="preserve"> (THIS IS A CHANGE)</t>
    </r>
  </si>
  <si>
    <t>Nightly</t>
  </si>
  <si>
    <t>28 feb to 2 mar</t>
  </si>
  <si>
    <t>na</t>
  </si>
  <si>
    <r>
      <t xml:space="preserve">May 26 to June 2 </t>
    </r>
    <r>
      <rPr>
        <sz val="11"/>
        <color rgb="FFFF0000"/>
        <rFont val="Calibri"/>
        <family val="2"/>
        <scheme val="minor"/>
      </rPr>
      <t>(Paul May  26 Dag and Jason May 30)</t>
    </r>
  </si>
  <si>
    <r>
      <t xml:space="preserve">1 Jan to 28 Feb </t>
    </r>
    <r>
      <rPr>
        <sz val="11"/>
        <color rgb="FFFF0000"/>
        <rFont val="Calibri"/>
        <family val="2"/>
        <scheme val="minor"/>
      </rPr>
      <t>(us 3 Jan to 5 Jan, 17 Jan to 20 Jan 31 Jan to 2 Feb 14 Feb to 23 Feb )</t>
    </r>
  </si>
  <si>
    <t>Eddie Malinowski</t>
  </si>
  <si>
    <t>eddiemfsk@hotmail.com</t>
  </si>
  <si>
    <t>INT</t>
  </si>
  <si>
    <t>2 Aug to 9 Aug</t>
  </si>
  <si>
    <t>may-31-14</t>
  </si>
  <si>
    <t>Rebecca Rogers</t>
  </si>
  <si>
    <t>rebeccasbakery@yahoo.com</t>
  </si>
  <si>
    <t xml:space="preserve">A/D/F1/B/F2/RR/T </t>
  </si>
  <si>
    <t>Helen Poxon</t>
  </si>
  <si>
    <t>glynpoxon@btinternet.com</t>
  </si>
  <si>
    <t>Jul 3 to July 13</t>
  </si>
  <si>
    <t>6 inc 6 teens</t>
  </si>
  <si>
    <t>May-8-13</t>
  </si>
  <si>
    <t xml:space="preserve">brianrfc@rogers.com </t>
  </si>
  <si>
    <t>Jul 13 to July 27</t>
  </si>
  <si>
    <t>May-10-13</t>
  </si>
  <si>
    <t xml:space="preserve">Michael Graham </t>
  </si>
  <si>
    <t>grahamm@ada.org</t>
  </si>
  <si>
    <t>15 Nov to 20 Nov</t>
  </si>
  <si>
    <t>Sep-20-12</t>
  </si>
  <si>
    <r>
      <t>A/D/F1/B/F2/</t>
    </r>
    <r>
      <rPr>
        <b/>
        <sz val="11"/>
        <color rgb="FFFF0000"/>
        <rFont val="Calibri"/>
        <family val="2"/>
        <scheme val="minor"/>
      </rPr>
      <t>RRASSHOLE/T</t>
    </r>
  </si>
  <si>
    <t>Pat Bush</t>
  </si>
  <si>
    <t>Aug 31 to Sep 28</t>
  </si>
  <si>
    <t>Jul-6-13</t>
  </si>
  <si>
    <t>pat.bush1@ntlworld.com</t>
  </si>
  <si>
    <r>
      <t xml:space="preserve">24 Sep to 1 Oct </t>
    </r>
    <r>
      <rPr>
        <b/>
        <sz val="11"/>
        <color rgb="FFFF0000"/>
        <rFont val="Calibri"/>
        <family val="2"/>
        <scheme val="minor"/>
      </rPr>
      <t>(CLEAN AT EXACTLY 10 AM AS THEY WANT TO LINGER AND I NEED TO MOVE IN.)</t>
    </r>
  </si>
  <si>
    <t>A/D/F1/B/F2/REC/RR/T</t>
  </si>
  <si>
    <t>Mandy Maloney</t>
  </si>
  <si>
    <t>mandymaloney@talktalk.net</t>
  </si>
  <si>
    <t>June 16 to June 30</t>
  </si>
  <si>
    <t>Apr-21-13</t>
  </si>
  <si>
    <t>Us</t>
  </si>
  <si>
    <t>April-7-13</t>
  </si>
  <si>
    <t>A/D/B/F2/REC/FI/RR/T Info</t>
  </si>
  <si>
    <r>
      <t>A/D/F1/B/F2/REC/FI/RR/</t>
    </r>
    <r>
      <rPr>
        <sz val="11"/>
        <color rgb="FFFF0000"/>
        <rFont val="Calibri"/>
        <family val="2"/>
        <scheme val="minor"/>
      </rPr>
      <t>T</t>
    </r>
  </si>
  <si>
    <t>1 Mar to 3 mar</t>
  </si>
  <si>
    <t>1 Jan to 28 Feb (us 1-4 to 1-6  &amp; 1-18 to 21… BUT DAG 1-19 to 1-20 &amp; 2-1 to 2-3 &amp; 2-15 to 24)</t>
  </si>
  <si>
    <r>
      <rPr>
        <b/>
        <sz val="11"/>
        <color rgb="FFFF0000"/>
        <rFont val="Calibri"/>
        <family val="2"/>
        <scheme val="minor"/>
      </rPr>
      <t>24 March BOAT then</t>
    </r>
    <r>
      <rPr>
        <sz val="11"/>
        <color theme="1"/>
        <rFont val="Calibri"/>
        <family val="2"/>
        <scheme val="minor"/>
      </rPr>
      <t xml:space="preserve"> 25 Marc to 31 Mar </t>
    </r>
    <r>
      <rPr>
        <sz val="11"/>
        <color rgb="FFFF0000"/>
        <rFont val="Calibri"/>
        <family val="2"/>
        <scheme val="minor"/>
      </rPr>
      <t>(Paul&amp; Jason) BUT DAG is  Mar 28  Dag  Mar31</t>
    </r>
  </si>
  <si>
    <t>We</t>
  </si>
  <si>
    <t>Were</t>
  </si>
  <si>
    <t>A/D/F1/B/F2/REC/FI/T/RR</t>
  </si>
  <si>
    <t>A/D/F1/B/F2/RR/INFO</t>
  </si>
  <si>
    <t>Christina Jansen</t>
  </si>
  <si>
    <t xml:space="preserve">csauermann@yahoo.de </t>
  </si>
  <si>
    <t>Nov 9 to Nov 16</t>
  </si>
  <si>
    <t>Sep-14-13</t>
  </si>
  <si>
    <t>A/D/F1/B/F2/Y/RR</t>
  </si>
  <si>
    <r>
      <t>31 Mar to 11  Apr  (</t>
    </r>
    <r>
      <rPr>
        <b/>
        <sz val="11"/>
        <color rgb="FFFF0000"/>
        <rFont val="Calibri"/>
        <family val="2"/>
        <scheme val="minor"/>
      </rPr>
      <t>leaving Late, clean aftyer 4PM or the next morning</t>
    </r>
    <r>
      <rPr>
        <sz val="11"/>
        <color theme="1"/>
        <rFont val="Calibri"/>
        <family val="2"/>
        <scheme val="minor"/>
      </rPr>
      <t>)</t>
    </r>
  </si>
  <si>
    <t xml:space="preserve">Nancy Collantine </t>
  </si>
  <si>
    <t>Jun-29-13</t>
  </si>
  <si>
    <t>Aug 24, to Aug 31</t>
  </si>
  <si>
    <t>Tina Millard</t>
  </si>
  <si>
    <t>Tinakappes@googlemail.com</t>
  </si>
  <si>
    <t>Oct 26 to Nov 9</t>
  </si>
  <si>
    <t>Aug-31-13</t>
  </si>
  <si>
    <t>GRAHAM OAKDEN</t>
  </si>
  <si>
    <t>OAKDENL@AOL.COM</t>
  </si>
  <si>
    <t>Mar 15 to Mar 22</t>
  </si>
  <si>
    <t>4 to 6 inc 0 children</t>
  </si>
  <si>
    <t>LJ Keyte</t>
  </si>
  <si>
    <t>ljkeyte@gmail.com --&gt; for pay pal us --&gt; rkeyte@tiscali.co.uk</t>
  </si>
  <si>
    <t>BT</t>
  </si>
  <si>
    <t>17 Aug to 24 Aug</t>
  </si>
  <si>
    <t>6 inc ?? Children</t>
  </si>
  <si>
    <t>Jun-22-13</t>
  </si>
  <si>
    <t>Elizabeth Ricke</t>
  </si>
  <si>
    <t>puppyma3@yahoo.com</t>
  </si>
  <si>
    <t>Oct 19, to Oc 26</t>
  </si>
  <si>
    <t>Aug-24-13</t>
  </si>
  <si>
    <t>May 22 to May 25</t>
  </si>
  <si>
    <t>13 March to 22 March</t>
  </si>
  <si>
    <t>Helena Tritchew</t>
  </si>
  <si>
    <t>tritchh@bell.net</t>
  </si>
  <si>
    <t>Jan-22-15</t>
  </si>
  <si>
    <t>Aug-6-13</t>
  </si>
  <si>
    <t>2 + 2 visitors</t>
  </si>
  <si>
    <t>Oct 1 to Oct 8 2013</t>
  </si>
  <si>
    <t>Dee Rosco</t>
  </si>
  <si>
    <t>utahdeer45@yahoo.com</t>
  </si>
  <si>
    <t>26 Jul but at the house only 27 Jul to 17 August ARRIVING EARLY STAYING ON BOAT NIGHT BEFORE TAKING BRIAN REID AND FAM ON CRUISE</t>
  </si>
  <si>
    <t>Sep 4 to Sep 12</t>
  </si>
  <si>
    <t>Jul-10-14</t>
  </si>
  <si>
    <t>Linda Godden</t>
  </si>
  <si>
    <t>Lindag@lakeland.ws</t>
  </si>
  <si>
    <t xml:space="preserve">Dec 10-17 </t>
  </si>
  <si>
    <t>6 Inc 2 children</t>
  </si>
  <si>
    <t>Oct-15-13</t>
  </si>
  <si>
    <t>A/D/F1/B/F2/REC/T/RR</t>
  </si>
  <si>
    <t>Bernadette Walsh</t>
  </si>
  <si>
    <t>Bandjwalsh@gmail.com</t>
  </si>
  <si>
    <t>Nov 16 to Nov 23</t>
  </si>
  <si>
    <t>Sep-21-13</t>
  </si>
  <si>
    <r>
      <t>Josh Dalley</t>
    </r>
    <r>
      <rPr>
        <b/>
        <sz val="11"/>
        <color rgb="FFFF0000"/>
        <rFont val="Calibri"/>
        <family val="2"/>
        <scheme val="minor"/>
      </rPr>
      <t>(PIGS!!!  DO NOT ALLOW BACK))</t>
    </r>
  </si>
  <si>
    <t>A/D/F1/B/F2/REC/T</t>
  </si>
  <si>
    <r>
      <t>Mar 21 (on the boat) leave Mar 23 AT 5PM (</t>
    </r>
    <r>
      <rPr>
        <sz val="11"/>
        <color rgb="FFFF0000"/>
        <rFont val="Calibri"/>
        <family val="2"/>
        <scheme val="minor"/>
      </rPr>
      <t>guets know they are not ot arrive before 5PM</t>
    </r>
    <r>
      <rPr>
        <sz val="11"/>
        <color theme="1"/>
        <rFont val="Calibri"/>
        <family val="2"/>
        <scheme val="minor"/>
      </rPr>
      <t>)</t>
    </r>
  </si>
  <si>
    <r>
      <t>Dos Santos</t>
    </r>
    <r>
      <rPr>
        <sz val="11"/>
        <color rgb="FFFF0000"/>
        <rFont val="Calibri"/>
        <family val="2"/>
      </rPr>
      <t xml:space="preserve"> (BOAT)</t>
    </r>
  </si>
  <si>
    <r>
      <t xml:space="preserve">Dos Santos </t>
    </r>
    <r>
      <rPr>
        <sz val="11"/>
        <color rgb="FFFF0000"/>
        <rFont val="Calibri"/>
        <family val="2"/>
      </rPr>
      <t>(BOAT)</t>
    </r>
  </si>
  <si>
    <r>
      <t>3 inc 1 child</t>
    </r>
    <r>
      <rPr>
        <b/>
        <sz val="11"/>
        <color rgb="FFFF0000"/>
        <rFont val="Calibri"/>
        <family val="2"/>
        <scheme val="minor"/>
      </rPr>
      <t xml:space="preserve"> (RC)</t>
    </r>
  </si>
  <si>
    <t>Barbara Erwin</t>
  </si>
  <si>
    <t>babswin22@gmail.com</t>
  </si>
  <si>
    <t>Mar 23 to April 5</t>
  </si>
  <si>
    <r>
      <t xml:space="preserve">Paul  Ward </t>
    </r>
    <r>
      <rPr>
        <sz val="11"/>
        <color rgb="FFFF0000"/>
        <rFont val="Calibri"/>
        <family val="2"/>
        <scheme val="minor"/>
      </rPr>
      <t xml:space="preserve"> (RC) Kept 500 deposit as partial initial deposit bill another $697 toward the 40% deposit on </t>
    </r>
    <r>
      <rPr>
        <b/>
        <u/>
        <sz val="11"/>
        <color rgb="FFFF0000"/>
        <rFont val="Calibri"/>
        <family val="2"/>
        <scheme val="minor"/>
      </rPr>
      <t>8-3-2013 then on Jan 4 bill the balance of 2343</t>
    </r>
  </si>
  <si>
    <t>Jan-26-14</t>
  </si>
  <si>
    <t>Richard Simpson</t>
  </si>
  <si>
    <t xml:space="preserve">blitztj@aol.com </t>
  </si>
  <si>
    <t>May 16 to May 23</t>
  </si>
  <si>
    <t>Mar-21-14</t>
  </si>
  <si>
    <t>Jessica Jeffries</t>
  </si>
  <si>
    <t>jessica_jeffries@yahoo.de</t>
  </si>
  <si>
    <t>April 26 to May 13</t>
  </si>
  <si>
    <t>Feb 28-14</t>
  </si>
  <si>
    <t>A/D/F1/F2/B</t>
  </si>
  <si>
    <r>
      <rPr>
        <b/>
        <sz val="11"/>
        <color rgb="FFFF0000"/>
        <rFont val="Calibri"/>
        <family val="2"/>
      </rPr>
      <t xml:space="preserve">Boat YES NO? </t>
    </r>
    <r>
      <rPr>
        <sz val="11"/>
        <rFont val="Calibri"/>
        <family val="2"/>
      </rPr>
      <t xml:space="preserve">Brian Reid </t>
    </r>
    <r>
      <rPr>
        <b/>
        <sz val="11"/>
        <color rgb="FFFF0000"/>
        <rFont val="Calibri"/>
        <family val="2"/>
      </rPr>
      <t>(Ret Customer) TAKING ON CRUISE</t>
    </r>
  </si>
  <si>
    <t>Marie Cirafesi</t>
  </si>
  <si>
    <t>mcirafesi@aol.com</t>
  </si>
  <si>
    <t>Jan-6-14</t>
  </si>
  <si>
    <t>May 3 to May 9-became may 10</t>
  </si>
  <si>
    <t>A/D/F1/B/F2/REC/T/RR/T</t>
  </si>
  <si>
    <t>A/D/F1/B/F2/T/RR</t>
  </si>
  <si>
    <t>Lisa Donelly</t>
  </si>
  <si>
    <t>lapdonnelly@verizon.net</t>
  </si>
  <si>
    <t>June 7 to June 14</t>
  </si>
  <si>
    <t>4 inc 2 children (4 other will visit onece overnight)</t>
  </si>
  <si>
    <t>Apr-19-14</t>
  </si>
  <si>
    <t>5 incc 3 children</t>
  </si>
  <si>
    <t>Apr-5-14</t>
  </si>
  <si>
    <t>May 29 to June 7</t>
  </si>
  <si>
    <r>
      <t xml:space="preserve">Edward Peery </t>
    </r>
    <r>
      <rPr>
        <b/>
        <sz val="11"/>
        <color rgb="FFFF0000"/>
        <rFont val="Calibri"/>
        <family val="2"/>
        <scheme val="minor"/>
      </rPr>
      <t>RETURNING GUEST</t>
    </r>
  </si>
  <si>
    <t>3 inc 1 child  DISCOUNT WAS $1,593</t>
  </si>
  <si>
    <t>3 Inc 0 children --NEED POOL RELEASES</t>
  </si>
  <si>
    <t>Karin and Martin Baumgartner</t>
  </si>
  <si>
    <t>baeumli1971@bluewin.ch</t>
  </si>
  <si>
    <t>June 14 to June 20</t>
  </si>
  <si>
    <t>Sep 27 (on boat) to Sep 29</t>
  </si>
  <si>
    <t>Mar 2 to Mar 8</t>
  </si>
  <si>
    <t xml:space="preserve">Oct 11 to 17, Dag and Jason Oct 1414 </t>
  </si>
  <si>
    <t>Brian Kremer</t>
  </si>
  <si>
    <t>BKremer@arrow-capital.com</t>
  </si>
  <si>
    <t>Dec 1 to Dec 10</t>
  </si>
  <si>
    <t>Oct-6-13</t>
  </si>
  <si>
    <r>
      <t xml:space="preserve">Clean </t>
    </r>
    <r>
      <rPr>
        <sz val="10"/>
        <color indexed="10"/>
        <rFont val="Verdana"/>
        <family val="2"/>
      </rPr>
      <t>Exit and midstay</t>
    </r>
  </si>
  <si>
    <t>Jan 4 bill the balance of 2343 all else done****Aug 3 2013 BILL ANOTHER $697 that compleats the deposit of $1197 then on Jan 4 bill the balance of 2343</t>
  </si>
  <si>
    <r>
      <t>A/D/F1/B/F2/</t>
    </r>
    <r>
      <rPr>
        <sz val="11"/>
        <rFont val="Calibri"/>
        <family val="2"/>
        <scheme val="minor"/>
      </rPr>
      <t>T</t>
    </r>
  </si>
  <si>
    <t>REFUNDED DEPOSIT TO owenconnah@hotmail.com nancy@trustfido.co.uk nancy.collantine@fidopr.co.uk</t>
  </si>
  <si>
    <t>Rachel Woodfield</t>
  </si>
  <si>
    <t>lisa clements</t>
  </si>
  <si>
    <t>lisaclements247@gmail.com</t>
  </si>
  <si>
    <t>12 Aug to 22 Aug</t>
  </si>
  <si>
    <t>June-17-14</t>
  </si>
  <si>
    <t>A/D/F1/B/F2/T/POSTED REVIEW</t>
  </si>
  <si>
    <t>Hope Bank</t>
  </si>
  <si>
    <t>Oct-22-13</t>
  </si>
  <si>
    <t>fromhopebank@gmail.com --&gt; for PayPal mitch@mycruiseclub.com</t>
  </si>
  <si>
    <t>PIGS left shit and urine on our bed….A/D/F1/B/F2/TRANSFER DONE</t>
  </si>
  <si>
    <t>DONE Jan-18-14</t>
  </si>
  <si>
    <t>Dec 25 to Jan 5 but Dag and Jason back Jan 1 then back again Jan 3 then we all go to NY Jan 5 (CLEN Jn 3, 17, 31 Jan, then 14 , and 24th of Feb then March 2 (clients moving in)</t>
  </si>
  <si>
    <t>23 May ro 26 May CLEAN MAY 27</t>
  </si>
  <si>
    <r>
      <t xml:space="preserve">20 Jun to </t>
    </r>
    <r>
      <rPr>
        <sz val="14"/>
        <rFont val="Calibri"/>
        <family val="2"/>
        <scheme val="minor"/>
      </rPr>
      <t>24</t>
    </r>
    <r>
      <rPr>
        <b/>
        <sz val="14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Jun</t>
    </r>
  </si>
  <si>
    <t>REFUNDED</t>
  </si>
  <si>
    <t>Diane horan</t>
  </si>
  <si>
    <t>diane.horan2@gmail.com</t>
  </si>
  <si>
    <t>Jan-18-14</t>
  </si>
  <si>
    <r>
      <t xml:space="preserve">Brian Reid </t>
    </r>
    <r>
      <rPr>
        <b/>
        <sz val="11"/>
        <color rgb="FFFF0000"/>
        <rFont val="Calibri"/>
        <family val="2"/>
      </rPr>
      <t>(Ret Customer)</t>
    </r>
  </si>
  <si>
    <t xml:space="preserve">4 inc 2 children </t>
  </si>
  <si>
    <t>25 Jun to Jul 5</t>
  </si>
  <si>
    <t>Apr-30-14</t>
  </si>
  <si>
    <t>Jul 12 to Aug 2</t>
  </si>
  <si>
    <t>July 5 to July 12</t>
  </si>
  <si>
    <t>maggiecuzzi@aol.com</t>
  </si>
  <si>
    <t>5 inc 1 children</t>
  </si>
  <si>
    <t>May-10-14</t>
  </si>
  <si>
    <r>
      <t>A/D/F1/B/F2/</t>
    </r>
    <r>
      <rPr>
        <sz val="11"/>
        <color rgb="FFFF0000"/>
        <rFont val="Calibri"/>
        <family val="2"/>
        <scheme val="minor"/>
      </rPr>
      <t>KEPT DEPOSIT FOR NEXT YEAR</t>
    </r>
  </si>
  <si>
    <r>
      <rPr>
        <b/>
        <sz val="11"/>
        <color rgb="FFFF0000"/>
        <rFont val="Calibri"/>
        <family val="2"/>
        <scheme val="minor"/>
      </rPr>
      <t>HAD A DOG DO NOT ALLOW BACK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Dec 17 to Dec 25</t>
    </r>
  </si>
  <si>
    <t>August 29 to Sep 1 CLEN SEP 2</t>
  </si>
  <si>
    <t>4 adults</t>
  </si>
  <si>
    <t>VB</t>
  </si>
  <si>
    <t>November 25 to 30</t>
  </si>
  <si>
    <t>November 24 to 29</t>
  </si>
  <si>
    <t>genorman@btinternet.com</t>
  </si>
  <si>
    <t>Geon and Gordon Norman</t>
  </si>
  <si>
    <t>sep-2-15</t>
  </si>
  <si>
    <t>Debbie Clow</t>
  </si>
  <si>
    <t>debra_clow@yahoo.co.uk</t>
  </si>
  <si>
    <t>22 Aug to 28 Aug</t>
  </si>
  <si>
    <t>June-27-14</t>
  </si>
  <si>
    <t>Anita Yoder</t>
  </si>
  <si>
    <t>Dec 17 to Dec 23</t>
  </si>
  <si>
    <t>Nov 30 to Dec 7</t>
  </si>
  <si>
    <r>
      <t>Brian Kremer (</t>
    </r>
    <r>
      <rPr>
        <b/>
        <sz val="11"/>
        <color rgb="FFFF0000"/>
        <rFont val="Calibri"/>
        <family val="2"/>
      </rPr>
      <t>ret Guest</t>
    </r>
    <r>
      <rPr>
        <sz val="11"/>
        <rFont val="Calibri"/>
        <family val="2"/>
      </rPr>
      <t>)</t>
    </r>
  </si>
  <si>
    <t>5 inc 2 childen</t>
  </si>
  <si>
    <r>
      <rPr>
        <b/>
        <sz val="11"/>
        <color rgb="FFFF0000"/>
        <rFont val="Calibri"/>
        <family val="2"/>
        <scheme val="minor"/>
      </rPr>
      <t>CHANGE</t>
    </r>
    <r>
      <rPr>
        <sz val="11"/>
        <color theme="1"/>
        <rFont val="Calibri"/>
        <family val="2"/>
        <scheme val="minor"/>
      </rPr>
      <t xml:space="preserve"> Oct 20 to Nov 3</t>
    </r>
  </si>
  <si>
    <t>Nov 3 to Nov 11</t>
  </si>
  <si>
    <t>Shawm44@sbcglobal.net</t>
  </si>
  <si>
    <t>April 20 to April 26</t>
  </si>
  <si>
    <t>paulylong@gmail.com</t>
  </si>
  <si>
    <t>Paul Long</t>
  </si>
  <si>
    <t>10 inc 5 children</t>
  </si>
  <si>
    <r>
      <rPr>
        <sz val="11"/>
        <rFont val="Calibri"/>
        <family val="2"/>
        <scheme val="minor"/>
      </rPr>
      <t>Driving in on the 18th Staying on the boat drop off car 11AM</t>
    </r>
    <r>
      <rPr>
        <sz val="11"/>
        <color rgb="FFFF0000"/>
        <rFont val="Calibri"/>
        <family val="2"/>
        <scheme val="minor"/>
      </rPr>
      <t xml:space="preserve">  ON 19th STAYING ON BOAT NIGHT BEFORE) leaving on</t>
    </r>
    <r>
      <rPr>
        <b/>
        <sz val="11"/>
        <color rgb="FFFF0000"/>
        <rFont val="Calibri"/>
        <family val="2"/>
        <scheme val="minor"/>
      </rPr>
      <t xml:space="preserve"> Apr Sunday 20 11AM.</t>
    </r>
  </si>
  <si>
    <t>3 inc 1  child</t>
  </si>
  <si>
    <t>Feb 22 to Mar 13</t>
  </si>
  <si>
    <t>oninnaz@aol.com</t>
  </si>
  <si>
    <t>john zannino</t>
  </si>
  <si>
    <t>Dec-28-14</t>
  </si>
  <si>
    <t>March 29  to April 5 (stay on boat night before..IF WE ARE BOOKED   (mar 28) dag not coming untill April 2 but driving us into WP airport)</t>
  </si>
  <si>
    <t>Dec 25 to Jan 4 For LATE leaving day before</t>
  </si>
  <si>
    <t>Jan 29 to Jan  Feb 1 for late leaving day before</t>
  </si>
  <si>
    <t>Feb 12 to 22 for late leaving day before Dag go home 16th then come back 19th</t>
  </si>
  <si>
    <t>March 18 to March 27 bur dag comes on march 24</t>
  </si>
  <si>
    <t>May 2 to May 16</t>
  </si>
  <si>
    <t>Elizabeth Bestum</t>
  </si>
  <si>
    <t>Mar-7-15</t>
  </si>
  <si>
    <t>A/D/F1/B/F2/RR/GOTIT</t>
  </si>
  <si>
    <r>
      <t>Marianne Meijer (</t>
    </r>
    <r>
      <rPr>
        <b/>
        <sz val="11"/>
        <color rgb="FFFF0000"/>
        <rFont val="Calibri"/>
        <family val="2"/>
        <scheme val="minor"/>
      </rPr>
      <t>KEEP BREAKAGE DEPOSIT TOWARDS NEXT YEARS DEPOSIT) (ret guest)</t>
    </r>
  </si>
  <si>
    <t>3 inc 1 child DISCOUNT WAS $2,923</t>
  </si>
  <si>
    <t>Jul-14-15</t>
  </si>
  <si>
    <t>A/D/F1/B/F2/RR</t>
  </si>
  <si>
    <t>April 5 to 12 (chrage only up to 11) discounted from $1,838 + payPal</t>
  </si>
  <si>
    <t>Feb-8-15</t>
  </si>
  <si>
    <t>Brian.waddell@marconpk.com</t>
  </si>
  <si>
    <t>March 22 to March 29</t>
  </si>
  <si>
    <t>Jan-25-15</t>
  </si>
  <si>
    <t>Dawn cross</t>
  </si>
  <si>
    <t>28 Sep to 9 Oct</t>
  </si>
  <si>
    <t>A/D/F1/B/F2/RR… TRANSFER DONE TO SON blong06@yahoo.com</t>
  </si>
  <si>
    <t>June 1 to June 8</t>
  </si>
  <si>
    <t>April-16-15</t>
  </si>
  <si>
    <t>April-6-15</t>
  </si>
  <si>
    <t>Dec 25 to Dec 31</t>
  </si>
  <si>
    <t>January 16 to January 19</t>
  </si>
  <si>
    <t>Feb 13 Feb to 22 (but dag leaves on the 17th)</t>
  </si>
  <si>
    <t>January 30, to Feb 2 LEAVING FEB 1 BUT LATE</t>
  </si>
  <si>
    <t>June 25 EARLY to June 29 LATE clean on 30th</t>
  </si>
  <si>
    <t>September 4 to Sep 8 Leaving on 7th LATE clean next day</t>
  </si>
  <si>
    <r>
      <t xml:space="preserve">1 January to 4 January                                       1 Jan to Feb 22 or 1 Mar </t>
    </r>
    <r>
      <rPr>
        <sz val="11"/>
        <color rgb="FFFF0000"/>
        <rFont val="Calibri"/>
        <family val="2"/>
        <scheme val="minor"/>
      </rPr>
      <t xml:space="preserve">(us 1 Jan to 4 Jan, 16 Jan to 19 Jan 30 Jan to 1, Feb 13 Feb to 22 (but dag leaves on the 17th), … </t>
    </r>
    <r>
      <rPr>
        <b/>
        <sz val="11"/>
        <color rgb="FFFF0000"/>
        <rFont val="Calibri"/>
        <family val="2"/>
        <scheme val="minor"/>
      </rPr>
      <t>MAYBE Feb 27 to Mar 1 closing NO GUETS ALLOWED UNTIL MARCH 2--- IF THE PEOPLE DON't TAKE THE WEEK</t>
    </r>
  </si>
  <si>
    <t>A/D/F1/B/F2/KEEP 500 DEP for NEXT YEAR.</t>
  </si>
  <si>
    <t>Sep 8 to Sep 29</t>
  </si>
  <si>
    <t>May -8-15</t>
  </si>
  <si>
    <t>July 3 to Jul 11</t>
  </si>
  <si>
    <t>Feb 2 to Feb 13</t>
  </si>
  <si>
    <t>Annie</t>
  </si>
  <si>
    <t>Sep 20 to Sep 26 OVERLAPPING US</t>
  </si>
  <si>
    <t>1 Adult</t>
  </si>
  <si>
    <t>A/D/F1/B/F2/T+RR</t>
  </si>
  <si>
    <t>A/D/F1/B/F2/ KEEP DEPOSIT for next year.</t>
  </si>
  <si>
    <t>15 Aug to 29 Aug</t>
  </si>
  <si>
    <t>June-20-15</t>
  </si>
  <si>
    <t>Brian.Reid@pcbank.ca</t>
  </si>
  <si>
    <t>A/D/F1/B/F2/RR BITCH</t>
  </si>
  <si>
    <r>
      <t xml:space="preserve">Margaret Cuzzi </t>
    </r>
    <r>
      <rPr>
        <b/>
        <sz val="11"/>
        <color rgb="FFFF0000"/>
        <rFont val="Calibri"/>
        <family val="2"/>
        <scheme val="minor"/>
      </rPr>
      <t>BITCH</t>
    </r>
  </si>
  <si>
    <t>&gt;-- new  crossdavid1961@gmail.com  this is old seems to not work anymore    ----&gt;  pi5imob@talktalk.net</t>
  </si>
  <si>
    <t>Aug-2-14</t>
  </si>
  <si>
    <r>
      <t xml:space="preserve">Sep 25 to Sep 28  (CONTRACTOR SEP 26 3PM PBS contractors (John) </t>
    </r>
    <r>
      <rPr>
        <b/>
        <sz val="11"/>
        <color rgb="FFFF0000"/>
        <rFont val="Calibri"/>
        <family val="2"/>
        <scheme val="minor"/>
      </rPr>
      <t xml:space="preserve"> (should be Rosh Hashana on the 25 and I think 26?????) </t>
    </r>
  </si>
  <si>
    <t>rachelwoodfield123@btinternet.com  OR rwoodfield73@gmail.com</t>
  </si>
  <si>
    <t>April 12 to April 19</t>
  </si>
  <si>
    <t>Joanne Normand</t>
  </si>
  <si>
    <t>jomnn@comcast.net</t>
  </si>
  <si>
    <t>April 24 to May 2</t>
  </si>
  <si>
    <t>2 people inc 0 children</t>
  </si>
  <si>
    <t>Feb-27-15</t>
  </si>
  <si>
    <t>A/D/F1/B/F2/T/  RR WAITING</t>
  </si>
  <si>
    <t>sled-me@midcoast.com</t>
  </si>
  <si>
    <t>Mark Boynton</t>
  </si>
  <si>
    <r>
      <rPr>
        <b/>
        <sz val="11"/>
        <color rgb="FFFF0000"/>
        <rFont val="Calibri"/>
        <family val="2"/>
        <scheme val="minor"/>
      </rPr>
      <t xml:space="preserve">CHANGE </t>
    </r>
    <r>
      <rPr>
        <sz val="11"/>
        <color theme="1"/>
        <rFont val="Calibri"/>
        <family val="2"/>
        <scheme val="minor"/>
      </rPr>
      <t>November 11 to 18</t>
    </r>
  </si>
  <si>
    <t xml:space="preserve"> remeijer@ziggo.nl &lt;-----------   That is the pay pal one info@babymoonandco.nl OR marianne@kraamzorgbabymoon.nl</t>
  </si>
  <si>
    <t>Julie Blake coachjulieblake@gmail.com and also Megan Sillito megansillito@gmail.com &lt;-- for paypal</t>
  </si>
  <si>
    <t>October 15 to 20</t>
  </si>
  <si>
    <t>8 inc 0 children</t>
  </si>
  <si>
    <r>
      <t>Oct 10 to Oct</t>
    </r>
    <r>
      <rPr>
        <sz val="11"/>
        <color rgb="FFFF0000"/>
        <rFont val="Calibri"/>
        <family val="2"/>
        <scheme val="minor"/>
      </rPr>
      <t xml:space="preserve"> 15</t>
    </r>
  </si>
  <si>
    <t>D/A/B/F2</t>
  </si>
  <si>
    <t>dec-25-15</t>
  </si>
  <si>
    <t>strawhat899@gmail.com &lt;-- for PayPal also rose56@gmail.com</t>
  </si>
  <si>
    <t>6 adults 3 children</t>
  </si>
  <si>
    <r>
      <rPr>
        <b/>
        <sz val="12"/>
        <color rgb="FFFF0000"/>
        <rFont val="Calibri"/>
        <family val="2"/>
        <scheme val="minor"/>
      </rPr>
      <t>PIGS</t>
    </r>
    <r>
      <rPr>
        <sz val="12"/>
        <color rgb="FF000000"/>
        <rFont val="Calibri"/>
        <family val="2"/>
        <scheme val="minor"/>
      </rPr>
      <t xml:space="preserve"> Julie Blake coachjulieblake@gmail.com and also Megan Sillito megansillito@gmail.com &lt;-- for paypal</t>
    </r>
  </si>
  <si>
    <t>D/A/F1/B/F2/T DID NOT REQUEST REVIEW</t>
  </si>
  <si>
    <r>
      <t>Margaret Shaw</t>
    </r>
    <r>
      <rPr>
        <b/>
        <sz val="11"/>
        <color rgb="FFFF0000"/>
        <rFont val="Calibri"/>
        <family val="2"/>
      </rPr>
      <t xml:space="preserve"> (STUPID DO NOT LET BACK)</t>
    </r>
  </si>
  <si>
    <t>D/A/F1/B/F2/RR</t>
  </si>
  <si>
    <t xml:space="preserve">alan.packard@rogers.com, johnwolpert@hotmail.com </t>
  </si>
  <si>
    <t>REFUNDED + 1,000 to leave us alone...WANTE US TO CANCEL OUR UPGRADE!!! Alan Packard</t>
  </si>
  <si>
    <t>REFUNDE</t>
  </si>
  <si>
    <t>REFUNDED….  FATHERINLAW GOT CANCER HAD TO CANCEL GAVE ALL MONEY BACK CHABGE Dec 8 to Dec 15</t>
  </si>
  <si>
    <t>A/D/F1/REFUNDED</t>
  </si>
  <si>
    <t>A/D/F1/B/F2/RR + TINFO</t>
  </si>
  <si>
    <t>November 29 to Dec 13</t>
  </si>
  <si>
    <t>5 Inc 2 children</t>
  </si>
  <si>
    <t>Oct-4-15</t>
  </si>
  <si>
    <t>Nov 3 to Nov 24</t>
  </si>
  <si>
    <r>
      <t>Stan Keyworth</t>
    </r>
    <r>
      <rPr>
        <b/>
        <sz val="11"/>
        <color rgb="FFFF0000"/>
        <rFont val="Calibri"/>
        <family val="2"/>
        <scheme val="minor"/>
      </rPr>
      <t>ASSWHOLE</t>
    </r>
  </si>
  <si>
    <t>ginaadams72@hotmail.com</t>
  </si>
  <si>
    <t>7 inc 1 child</t>
  </si>
  <si>
    <t>Peter Chubb</t>
  </si>
  <si>
    <t>p.chubb806@btinternet.com</t>
  </si>
  <si>
    <t>October 19 to Oct 27</t>
  </si>
  <si>
    <t>Aug-24-15</t>
  </si>
  <si>
    <t>Mar-23-15</t>
  </si>
  <si>
    <t>May 25 to May 30</t>
  </si>
  <si>
    <r>
      <t xml:space="preserve">Gina Adams </t>
    </r>
    <r>
      <rPr>
        <b/>
        <sz val="11"/>
        <color rgb="FFFF0000"/>
        <rFont val="Calibri"/>
        <family val="2"/>
        <scheme val="minor"/>
      </rPr>
      <t>(REMIND THEM CHECK IN LATE AFTER 5PM)</t>
    </r>
  </si>
  <si>
    <t>`</t>
  </si>
  <si>
    <t>june 11 to june 25</t>
  </si>
  <si>
    <t>Rob Marson</t>
  </si>
  <si>
    <t>rob_marson@hotmail.com</t>
  </si>
  <si>
    <t>october 1 to 9</t>
  </si>
  <si>
    <t>Leonardo Ferre</t>
  </si>
  <si>
    <t>lferre@ETS.ORG</t>
  </si>
  <si>
    <t>Aug-6-15</t>
  </si>
  <si>
    <t>Paul Durkin</t>
  </si>
  <si>
    <t>paul-durkin@tiscali.co.uk</t>
  </si>
  <si>
    <t>April 1 to June 30 &amp; Sep 1 Dec 31</t>
  </si>
  <si>
    <t>Jan 1 to March 30</t>
  </si>
  <si>
    <t>Jan 15 to Jan 19 for late leaving day before the 18th is martin luter coon day</t>
  </si>
  <si>
    <t>Feb 23 to Mar 12</t>
  </si>
  <si>
    <t>Mar 12 to 18</t>
  </si>
  <si>
    <t>jan-16-16</t>
  </si>
  <si>
    <t>anncallan@yahoo.com also ddsandbergtwo@mac.com 30annsandberg@gmail.com</t>
  </si>
  <si>
    <r>
      <t xml:space="preserve">2 inc 0 children </t>
    </r>
    <r>
      <rPr>
        <b/>
        <sz val="11"/>
        <color rgb="FFFF0000"/>
        <rFont val="Calibri"/>
        <family val="2"/>
        <scheme val="minor"/>
      </rPr>
      <t>(MAY CHANGE TO UP TO 6 WILL NEED MORE MONEY AND NEW RENTAL AGR)</t>
    </r>
  </si>
  <si>
    <t>Feb 1 to Feb 12</t>
  </si>
  <si>
    <t>dec-7-15</t>
  </si>
  <si>
    <r>
      <t>Brian Waddell</t>
    </r>
    <r>
      <rPr>
        <b/>
        <sz val="11"/>
        <color rgb="FFFF0000"/>
        <rFont val="Calibri"/>
        <family val="2"/>
      </rPr>
      <t xml:space="preserve"> (keeps doors open, runs Spa all day DO NOT REINVITE)</t>
    </r>
  </si>
  <si>
    <t>Nicole Hildenbrand-Elgin</t>
  </si>
  <si>
    <t>feminic@aol.com(BOUNCES USING HTMAIL CONTCAT FROM CAVALIERHOME INSTEAD)</t>
  </si>
  <si>
    <t>Jul 11, to Jul 17</t>
  </si>
  <si>
    <t>May 12-15</t>
  </si>
  <si>
    <t>A/D/F1/B/F2/RR+T INFO/GOTITALL</t>
  </si>
  <si>
    <t>A/D/F1/B/F2/KEPT DEPOSIT NEED DATES AND REVIEW</t>
  </si>
  <si>
    <t>shaynahamma@yahoo.com and khamma76@yahoo.com &lt;-- for pay pal</t>
  </si>
  <si>
    <t>pgkward@gmail.com keeanward@gmail.com</t>
  </si>
  <si>
    <r>
      <t xml:space="preserve">Paul  Ward </t>
    </r>
    <r>
      <rPr>
        <sz val="11"/>
        <color rgb="FFFF0000"/>
        <rFont val="Calibri"/>
        <family val="2"/>
        <scheme val="minor"/>
      </rPr>
      <t xml:space="preserve"> (RC) Kept 500 deposit</t>
    </r>
    <r>
      <rPr>
        <b/>
        <u/>
        <sz val="11"/>
        <color rgb="FFFF0000"/>
        <rFont val="Calibri"/>
        <family val="2"/>
        <scheme val="minor"/>
      </rPr>
      <t xml:space="preserve"> AGAIN!!!!!</t>
    </r>
    <r>
      <rPr>
        <sz val="11"/>
        <color rgb="FFFF0000"/>
        <rFont val="Calibri"/>
        <family val="2"/>
        <scheme val="minor"/>
      </rPr>
      <t>as the deposit SEE E-MAIL</t>
    </r>
  </si>
  <si>
    <r>
      <t>Paul  Ward (</t>
    </r>
    <r>
      <rPr>
        <b/>
        <sz val="11"/>
        <color theme="1"/>
        <rFont val="Calibri"/>
        <family val="2"/>
        <scheme val="minor"/>
      </rPr>
      <t>great famely</t>
    </r>
    <r>
      <rPr>
        <sz val="11"/>
        <color theme="1"/>
        <rFont val="Calibri"/>
        <family val="2"/>
        <scheme val="minor"/>
      </rPr>
      <t xml:space="preserve">) </t>
    </r>
    <r>
      <rPr>
        <sz val="11"/>
        <color rgb="FFFF0000"/>
        <rFont val="Calibri"/>
        <family val="2"/>
        <scheme val="minor"/>
      </rPr>
      <t xml:space="preserve"> (RC) Kept 500 deposit</t>
    </r>
    <r>
      <rPr>
        <b/>
        <u/>
        <sz val="11"/>
        <color rgb="FFFF0000"/>
        <rFont val="Calibri"/>
        <family val="2"/>
        <scheme val="minor"/>
      </rPr>
      <t xml:space="preserve"> AGAIN!!!!!</t>
    </r>
    <r>
      <rPr>
        <sz val="11"/>
        <color rgb="FFFF0000"/>
        <rFont val="Calibri"/>
        <family val="2"/>
        <scheme val="minor"/>
      </rPr>
      <t>as the deposit SEE E-MAIL</t>
    </r>
  </si>
  <si>
    <t>jonanddebs99@gmail.com</t>
  </si>
  <si>
    <t>June-25-16</t>
  </si>
  <si>
    <t>cxu-98g-awc@tele2.se conny.elisabeth@tele2.se PHONE 46 709 531 631    conny.kjellander@tele2.se</t>
  </si>
  <si>
    <t>us</t>
  </si>
  <si>
    <t>john.setzer@aol.com</t>
  </si>
  <si>
    <t xml:space="preserve">John Setzer 585-455-5361 </t>
  </si>
  <si>
    <t>Feb-28-16</t>
  </si>
  <si>
    <t>suzanne@jdmbuildinggroup.com</t>
  </si>
  <si>
    <t>Aug 29 to Sep 4</t>
  </si>
  <si>
    <t>2 adults</t>
  </si>
  <si>
    <t>June-30-15</t>
  </si>
  <si>
    <t>A/D/F1/B/F2/ RR KEEPING DEPOSIT TOWARD NEXT YEAR, need dates</t>
  </si>
  <si>
    <t>A/D/F1/B/F2/T   RR</t>
  </si>
  <si>
    <t>April 8 to April 15</t>
  </si>
  <si>
    <t>April 15 to 24 (would be nice to leave late)</t>
  </si>
  <si>
    <t>Richard Langley</t>
  </si>
  <si>
    <t>langley@nbnet.nb.ca</t>
  </si>
  <si>
    <t>April 24 to May 8</t>
  </si>
  <si>
    <t>Feb 28-16</t>
  </si>
  <si>
    <t xml:space="preserve">Kevin and Shayna Hamma RULE BREAKERS had 14 people at the house for a party, let 4 people stay overnight without permissiobn, left the house a mess </t>
  </si>
  <si>
    <t>A/D/F1/B/F2/RR+T</t>
  </si>
  <si>
    <t>September 2 to Sep 6 leaving on Sep 5 late</t>
  </si>
  <si>
    <t>Nov 23 to 27 LATE clean 28th</t>
  </si>
  <si>
    <t>Feb 17 to 26 leave late clean on the 27th</t>
  </si>
  <si>
    <t>April 7 to April 16 leaving late clean 17th</t>
  </si>
  <si>
    <t>May 26 to May 29 leave late clean on 30th</t>
  </si>
  <si>
    <t>Sep 1 to Sep 4</t>
  </si>
  <si>
    <t>Aug 3 to Aug 13</t>
  </si>
  <si>
    <t>JUNE IF OPEN WEEKEND</t>
  </si>
  <si>
    <r>
      <rPr>
        <b/>
        <sz val="11"/>
        <color rgb="FFFF0000"/>
        <rFont val="Calibri"/>
        <family val="2"/>
        <scheme val="minor"/>
      </rPr>
      <t>July 17 t</t>
    </r>
    <r>
      <rPr>
        <sz val="11"/>
        <color theme="1"/>
        <rFont val="Calibri"/>
        <family val="2"/>
        <scheme val="minor"/>
      </rPr>
      <t>o August 15</t>
    </r>
  </si>
  <si>
    <t xml:space="preserve">July 6 to August 3 </t>
  </si>
  <si>
    <t>4 Inc 0 child</t>
  </si>
  <si>
    <t>Dec 18, to Dec 23</t>
  </si>
  <si>
    <t>6 inc 1 child</t>
  </si>
  <si>
    <t>johnkreuzer5@hotmail.com</t>
  </si>
  <si>
    <t>John Kreuzer</t>
  </si>
  <si>
    <t>Oct-23-15</t>
  </si>
  <si>
    <t>June-8-16</t>
  </si>
  <si>
    <t xml:space="preserve">October 9 to Oct 12 </t>
  </si>
  <si>
    <t>lorrainehotchkies@mac.com</t>
  </si>
  <si>
    <t>Oct 12 to Oct 19</t>
  </si>
  <si>
    <t>Aug -13-15</t>
  </si>
  <si>
    <r>
      <t xml:space="preserve">Dos Santos </t>
    </r>
    <r>
      <rPr>
        <b/>
        <sz val="11"/>
        <color rgb="FFFF0000"/>
        <rFont val="Calibri"/>
        <family val="2"/>
      </rPr>
      <t>NEXT GUEST COMING AFTER 4 PM</t>
    </r>
  </si>
  <si>
    <r>
      <t xml:space="preserve">Lisa Donelly </t>
    </r>
    <r>
      <rPr>
        <b/>
        <sz val="11"/>
        <color rgb="FFFF0000"/>
        <rFont val="Calibri"/>
        <family val="2"/>
      </rPr>
      <t>KEPT DEPOSIT FOR NEXT YEAR</t>
    </r>
  </si>
  <si>
    <t>A/D/F1/B/F2/B/T RR   USING HA PAYMENTS</t>
  </si>
  <si>
    <t>kariejhead@aol.com</t>
  </si>
  <si>
    <t>Karie Head</t>
  </si>
  <si>
    <t>Jan 21 to Jan 28</t>
  </si>
  <si>
    <t>3 inc one teen child + maybe another teen visiting</t>
  </si>
  <si>
    <t>Nov 26-15</t>
  </si>
  <si>
    <r>
      <t xml:space="preserve">Lorraine Hotchkies </t>
    </r>
    <r>
      <rPr>
        <b/>
        <sz val="11"/>
        <color rgb="FFFF0000"/>
        <rFont val="Calibri"/>
        <family val="2"/>
      </rPr>
      <t>(KEEP $100 from Breakage for BIKES use AND ALSO CHECK IN AFTER 4PM)</t>
    </r>
  </si>
  <si>
    <t>July 27 to Aug 13</t>
  </si>
  <si>
    <t>July 1 to 27</t>
  </si>
  <si>
    <t>Melanie and Steve Hewitt</t>
  </si>
  <si>
    <t>FH</t>
  </si>
  <si>
    <t>Jan 4, to Jan 11</t>
  </si>
  <si>
    <t>Nov-9-15</t>
  </si>
  <si>
    <t>Greg Erickson</t>
  </si>
  <si>
    <t>gregerickson@comcast.net</t>
  </si>
  <si>
    <t>Aug 13 to Aug 19</t>
  </si>
  <si>
    <t>Debbie chapman (changed dates originaly was Aug 20 to 26)</t>
  </si>
  <si>
    <t>March 27 to April 1</t>
  </si>
  <si>
    <t>mrsfiske75@yahoo.com</t>
  </si>
  <si>
    <t>jan-31-16</t>
  </si>
  <si>
    <t>A/D/F1/B/F2  USING HA PAYMENTS</t>
  </si>
  <si>
    <t>Stacey Fiske (ADDED FRIENDS)</t>
  </si>
  <si>
    <t>A/D/F1/B/F2 Rtinfo</t>
  </si>
  <si>
    <t>8 incl 4 children</t>
  </si>
  <si>
    <t>AD/AOMEAWAY/F1/B/F2 GOT REVIEW AND SENT BACK DEPOSIT VIA PAYPAL NOT HA</t>
  </si>
  <si>
    <r>
      <t xml:space="preserve">Suzanne Johns </t>
    </r>
    <r>
      <rPr>
        <b/>
        <sz val="11"/>
        <color rgb="FFFF0000"/>
        <rFont val="Calibri"/>
        <family val="2"/>
      </rPr>
      <t>SHIT LIST messed up the microwave, left napkins in the pool, broth in CLOROX cleaner.  2 People did all this.</t>
    </r>
  </si>
  <si>
    <t>Marianne Meijer (ret guest)CHAMPAGN (30th Aniversery)  Kept last years breakage toward initial deposit  see emails for details</t>
  </si>
  <si>
    <t>BKremer@arrow-capital.com     lkremer@sympatico.ca</t>
  </si>
  <si>
    <t>A/D/F1/B/F2 RR+TINFO</t>
  </si>
  <si>
    <t xml:space="preserve">Dos Santos </t>
  </si>
  <si>
    <t>A/D/F1//B/F2/ RR + TINFO</t>
  </si>
  <si>
    <t>Oct 27 to Nov 3</t>
  </si>
  <si>
    <t>gblaine@mts.net</t>
  </si>
  <si>
    <t>Tracey Duffy</t>
  </si>
  <si>
    <t>Sept 13 to Sept 27</t>
  </si>
  <si>
    <t>tduffy10@googlemail.com</t>
  </si>
  <si>
    <t>2 asults</t>
  </si>
  <si>
    <t>Jul-19-16</t>
  </si>
  <si>
    <t>A/D/F1/B/F2 PAYPAL INCLUDED</t>
  </si>
  <si>
    <t>A/D/F1/B/F2  RTINFO</t>
  </si>
  <si>
    <t xml:space="preserve">A/D/F1/B/F2/T USING HA PAYMENTS </t>
  </si>
  <si>
    <r>
      <t xml:space="preserve">Gord Blaine </t>
    </r>
    <r>
      <rPr>
        <b/>
        <sz val="11"/>
        <color rgb="FFFF0000"/>
        <rFont val="Calibri"/>
        <family val="2"/>
      </rPr>
      <t>(shit list did not take very good care of the place)</t>
    </r>
  </si>
  <si>
    <t>April 30 to May 7</t>
  </si>
  <si>
    <t>Samantha &amp; Kevin Shimmon</t>
  </si>
  <si>
    <t>Mar-5-17</t>
  </si>
  <si>
    <t>3  inc 1 child</t>
  </si>
  <si>
    <t>Theresa Ann Sandberg</t>
  </si>
  <si>
    <r>
      <t>Barbara Erwin</t>
    </r>
    <r>
      <rPr>
        <sz val="11"/>
        <color rgb="FFFF0000"/>
        <rFont val="Calibri"/>
        <family val="2"/>
        <scheme val="minor"/>
      </rPr>
      <t xml:space="preserve"> CHECKING IN EARLY BY NOON</t>
    </r>
  </si>
  <si>
    <t>October 7 to October 11</t>
  </si>
  <si>
    <t>Oct 22 to Oct 29</t>
  </si>
  <si>
    <t>Debra Coates</t>
  </si>
  <si>
    <t>debracoates@sky.com</t>
  </si>
  <si>
    <t>2 adults 2 children</t>
  </si>
  <si>
    <t>aug-27-16</t>
  </si>
  <si>
    <t>jstone154@sbcglobal.net</t>
  </si>
  <si>
    <r>
      <t xml:space="preserve">Jim &amp; Sharon Stone </t>
    </r>
    <r>
      <rPr>
        <sz val="11"/>
        <color rgb="FFFF0000"/>
        <rFont val="Calibri"/>
        <family val="2"/>
      </rPr>
      <t>(2 Interim Cleans arrange for that with Nickie) They came from our mailer about traveler fees. ALSO gave them $300 discount</t>
    </r>
  </si>
  <si>
    <t>Nov-22-16</t>
  </si>
  <si>
    <t>INC BIKES</t>
  </si>
  <si>
    <r>
      <t xml:space="preserve">John Zanino </t>
    </r>
    <r>
      <rPr>
        <sz val="11"/>
        <color rgb="FFFF0000"/>
        <rFont val="Calibri"/>
        <family val="2"/>
      </rPr>
      <t>(RET C)</t>
    </r>
  </si>
  <si>
    <t>greensladefamily@btinternet.com</t>
  </si>
  <si>
    <t>October 11 to October 22</t>
  </si>
  <si>
    <t>4 adults 3 children</t>
  </si>
  <si>
    <t>aug-16-16</t>
  </si>
  <si>
    <t>Oct 29 To Nove 5</t>
  </si>
  <si>
    <t>4 people</t>
  </si>
  <si>
    <t>Sep-3-16</t>
  </si>
  <si>
    <t>jpdeane@gmail.com</t>
  </si>
  <si>
    <t>A/D/F1/B/F2 /RR/TDONE</t>
  </si>
  <si>
    <t>April 1 to April 8</t>
  </si>
  <si>
    <t>kimcody74@gmail.com Kimberly.a.cody@lmco.com</t>
  </si>
  <si>
    <t>Kimberly Cody</t>
  </si>
  <si>
    <t>5 including 3 children</t>
  </si>
  <si>
    <t>A/D/F1/B/F2 …/PayPal included in price</t>
  </si>
  <si>
    <t>VHR</t>
  </si>
  <si>
    <t>Aug 19 to Aug 24</t>
  </si>
  <si>
    <t>ian schiffer</t>
  </si>
  <si>
    <t>june-17-16</t>
  </si>
  <si>
    <t>i.r.schiffer@gmail.com vgschiffer@gmail.com</t>
  </si>
  <si>
    <r>
      <t>A/D/F1/B/F2/</t>
    </r>
    <r>
      <rPr>
        <sz val="11"/>
        <color rgb="FFFF0000"/>
        <rFont val="Calibri"/>
        <family val="2"/>
        <scheme val="minor"/>
      </rPr>
      <t>RTI</t>
    </r>
  </si>
  <si>
    <t>March 24 to March 26</t>
  </si>
  <si>
    <t>Feb 27 to March 20</t>
  </si>
  <si>
    <r>
      <t>Lisa Donelly</t>
    </r>
    <r>
      <rPr>
        <b/>
        <sz val="11"/>
        <color rgb="FFFF0000"/>
        <rFont val="Calibri"/>
        <family val="2"/>
      </rPr>
      <t xml:space="preserve"> CANCELED</t>
    </r>
  </si>
  <si>
    <r>
      <rPr>
        <b/>
        <sz val="11"/>
        <color rgb="FFFF0000"/>
        <rFont val="Calibri"/>
        <family val="2"/>
        <scheme val="minor"/>
      </rPr>
      <t>CANCELED</t>
    </r>
    <r>
      <rPr>
        <sz val="11"/>
        <color theme="1"/>
        <rFont val="Calibri"/>
        <family val="2"/>
        <scheme val="minor"/>
      </rPr>
      <t xml:space="preserve"> Judy Cerett Mullett </t>
    </r>
    <r>
      <rPr>
        <b/>
        <sz val="11"/>
        <color rgb="FFFF0000"/>
        <rFont val="Calibri"/>
        <family val="2"/>
        <scheme val="minor"/>
      </rPr>
      <t>(RC)</t>
    </r>
  </si>
  <si>
    <r>
      <rPr>
        <b/>
        <sz val="11"/>
        <color rgb="FFFF0000"/>
        <rFont val="Calibri"/>
        <family val="2"/>
        <scheme val="minor"/>
      </rPr>
      <t>CANCELED</t>
    </r>
    <r>
      <rPr>
        <sz val="11"/>
        <color theme="1"/>
        <rFont val="Calibri"/>
        <family val="2"/>
        <scheme val="minor"/>
      </rPr>
      <t xml:space="preserve"> June 18 to June 25</t>
    </r>
  </si>
  <si>
    <r>
      <rPr>
        <b/>
        <sz val="11"/>
        <color rgb="FFFF0000"/>
        <rFont val="Calibri"/>
        <family val="2"/>
        <scheme val="minor"/>
      </rPr>
      <t xml:space="preserve">CANCELED </t>
    </r>
    <r>
      <rPr>
        <sz val="11"/>
        <color theme="1"/>
        <rFont val="Calibri"/>
        <family val="2"/>
        <scheme val="minor"/>
      </rPr>
      <t>April-23-16</t>
    </r>
  </si>
  <si>
    <t>Jane Lewis</t>
  </si>
  <si>
    <t>dusmlewis@hotmail.com</t>
  </si>
  <si>
    <t>FS</t>
  </si>
  <si>
    <t>March 26, to April 2</t>
  </si>
  <si>
    <t>6 incc 2 children</t>
  </si>
  <si>
    <t>YES Paid $100</t>
  </si>
  <si>
    <t>Ja-29-17</t>
  </si>
  <si>
    <r>
      <t>Brian Kremer (</t>
    </r>
    <r>
      <rPr>
        <sz val="11"/>
        <color rgb="FFFF0000"/>
        <rFont val="Calibri"/>
        <family val="2"/>
      </rPr>
      <t>ret Guest</t>
    </r>
    <r>
      <rPr>
        <sz val="11"/>
        <rFont val="Calibri"/>
        <family val="2"/>
      </rPr>
      <t>)</t>
    </r>
  </si>
  <si>
    <t>Oct-9-16</t>
  </si>
  <si>
    <t xml:space="preserve"> A/D/F1/B/F2/Tdone</t>
  </si>
  <si>
    <t>4 Adults</t>
  </si>
  <si>
    <t xml:space="preserve">A/D/F1/ B/F2 </t>
  </si>
  <si>
    <t>A/D/B/F2/RR</t>
  </si>
  <si>
    <t>May 25 to May 31 CLEAN ON 31 leaving on te 30</t>
  </si>
  <si>
    <t>overheadoorstan@netsync.net  mudshark@hughes.net</t>
  </si>
  <si>
    <r>
      <t xml:space="preserve">Stan Martinelli </t>
    </r>
    <r>
      <rPr>
        <b/>
        <sz val="11"/>
        <color rgb="FFFF0000"/>
        <rFont val="Calibri"/>
        <family val="2"/>
      </rPr>
      <t>(SHE FELL AND BROKE BOTH HER RISTS LEAVING REFUNDING ALL BUT 2 DAYS or $2,156)</t>
    </r>
  </si>
  <si>
    <t>3 inc one teen</t>
  </si>
  <si>
    <t>Mark Boynton (RC)</t>
  </si>
  <si>
    <t>FH-OD</t>
  </si>
  <si>
    <t>November 13, to November 21</t>
  </si>
  <si>
    <t>Sep-19-16</t>
  </si>
  <si>
    <t>A/D/B/F2/REFUNDED $1,697.  Kept rest for the 2 days rental plus pool plus clean tax and paypal</t>
  </si>
  <si>
    <t>Ana Teixeira</t>
  </si>
  <si>
    <t>anateixeira0975@gmail.com</t>
  </si>
  <si>
    <t>June 18 to 23</t>
  </si>
  <si>
    <t>5 inc 2 kids</t>
  </si>
  <si>
    <t>Jan 13 to 16</t>
  </si>
  <si>
    <t>PayPal Inc PAID/F2</t>
  </si>
  <si>
    <t>Christi Hamlin</t>
  </si>
  <si>
    <t>June 29 to July 3</t>
  </si>
  <si>
    <t>bunchacats2@yahoo.com</t>
  </si>
  <si>
    <t>A/D/B/F2</t>
  </si>
  <si>
    <t>leejoyce4444@comcast.net</t>
  </si>
  <si>
    <t>FH-VR</t>
  </si>
  <si>
    <t>Nov 5 to Nov 12</t>
  </si>
  <si>
    <t>Sep-10-16</t>
  </si>
  <si>
    <t>A/D/F1?B/F2/T</t>
  </si>
  <si>
    <t xml:space="preserve"> Dec 25 to Jan 2 CLEAN ON JAN 3</t>
  </si>
  <si>
    <t>June 18 to 25</t>
  </si>
  <si>
    <t>David and Nicki Banks</t>
  </si>
  <si>
    <t>djbanks1@gmail.com NKGUENTH@UP.COM</t>
  </si>
  <si>
    <t>3 adults 4 children</t>
  </si>
  <si>
    <t>Pat599@aol.com</t>
  </si>
  <si>
    <t>Dec 17 to Dec 24</t>
  </si>
  <si>
    <t>Oct-22-16</t>
  </si>
  <si>
    <t>Jan 3 to Jan 10</t>
  </si>
  <si>
    <t>Martin Gracie</t>
  </si>
  <si>
    <t>martingracie@hotmail.co.uk</t>
  </si>
  <si>
    <t>2 Adults</t>
  </si>
  <si>
    <t>Nov-4-16</t>
  </si>
  <si>
    <r>
      <t>John Deane</t>
    </r>
    <r>
      <rPr>
        <b/>
        <sz val="11"/>
        <color rgb="FFFF0000"/>
        <rFont val="Calibri"/>
        <family val="2"/>
      </rPr>
      <t xml:space="preserve"> Leaving 11 am</t>
    </r>
  </si>
  <si>
    <t>April 22 to April 29</t>
  </si>
  <si>
    <t>fourtugs@aol.com</t>
  </si>
  <si>
    <t>Ronald Tugwell</t>
  </si>
  <si>
    <t>feb-21-17</t>
  </si>
  <si>
    <r>
      <t xml:space="preserve">Jenni Greenslade </t>
    </r>
    <r>
      <rPr>
        <b/>
        <sz val="16"/>
        <color rgb="FFFF0000"/>
        <rFont val="Calibri"/>
        <family val="2"/>
        <scheme val="minor"/>
      </rPr>
      <t>PIGS NEVER AGAIN</t>
    </r>
  </si>
  <si>
    <t xml:space="preserve"> A/D/F1/B/F2/T</t>
  </si>
  <si>
    <r>
      <t xml:space="preserve">October 6 to October 9 </t>
    </r>
    <r>
      <rPr>
        <b/>
        <sz val="11"/>
        <color rgb="FFFF0000"/>
        <rFont val="Calibri"/>
        <family val="2"/>
        <scheme val="minor"/>
      </rPr>
      <t>clean october 10</t>
    </r>
  </si>
  <si>
    <r>
      <t xml:space="preserve">Lee Gehman Jr. </t>
    </r>
    <r>
      <rPr>
        <b/>
        <sz val="11"/>
        <color rgb="FFFF0000"/>
        <rFont val="Calibri"/>
        <family val="2"/>
        <scheme val="minor"/>
      </rPr>
      <t>WANTS TO BOOK NEXT OCTOBER</t>
    </r>
  </si>
  <si>
    <t xml:space="preserve">Lee Gehman Jr. </t>
  </si>
  <si>
    <t>Oct 28 to Nov 4</t>
  </si>
  <si>
    <t>A/D/F1/B/F2/RTINFO</t>
  </si>
  <si>
    <t>A/D/F1/B/F2/Kept deposit for next year</t>
  </si>
  <si>
    <t>December 4 to 17</t>
  </si>
  <si>
    <t>Jan 4 2017…. July 4 2016- Pay $2117  GOT A CHECK!!!! …. Then Jan 4 2017 another $3373… SENT PAYPAL WAITING</t>
  </si>
  <si>
    <t>D/ B/F2</t>
  </si>
  <si>
    <r>
      <t xml:space="preserve">January 16 to February 17 </t>
    </r>
    <r>
      <rPr>
        <b/>
        <sz val="11"/>
        <color rgb="FFFF0000"/>
        <rFont val="Calibri"/>
        <family val="2"/>
        <scheme val="minor"/>
      </rPr>
      <t>Leaving at 12 PM</t>
    </r>
  </si>
  <si>
    <r>
      <t xml:space="preserve">Patty Darby </t>
    </r>
    <r>
      <rPr>
        <b/>
        <sz val="11"/>
        <color rgb="FFFF0000"/>
        <rFont val="Calibri"/>
        <family val="2"/>
      </rPr>
      <t>CANCELED AT THE LST MOMENT I refunded anyway</t>
    </r>
  </si>
  <si>
    <t>Dec 25 to Jan1 clean on Jan 2</t>
  </si>
  <si>
    <t>Jan 12 to 15</t>
  </si>
  <si>
    <t>FIX ON CALENDARS</t>
  </si>
  <si>
    <t>June 10 to 16</t>
  </si>
  <si>
    <t>apr-15-17</t>
  </si>
  <si>
    <t>Christy@bxbenefits.com</t>
  </si>
  <si>
    <t>Christy Boehm</t>
  </si>
  <si>
    <t>April 3 to April 7</t>
  </si>
  <si>
    <t>ccbaumgartner@gmail.com</t>
  </si>
  <si>
    <t>260-515-5934</t>
  </si>
  <si>
    <t>Chris Baumgartner</t>
  </si>
  <si>
    <t>May 13 to 21</t>
  </si>
  <si>
    <t>Stephanie Hudson</t>
  </si>
  <si>
    <t>shudson1222@yahoo.com      2177414598</t>
  </si>
  <si>
    <t>Mar-14-17</t>
  </si>
  <si>
    <t>Brian Kremer (ret Guest)</t>
  </si>
  <si>
    <t>A/D/F1/B/F2/RR+Tinfo</t>
  </si>
  <si>
    <t>December 3 to 16</t>
  </si>
  <si>
    <t>8-0ct</t>
  </si>
  <si>
    <t>March 20 to March 24</t>
  </si>
  <si>
    <t>1 adult</t>
  </si>
  <si>
    <t>ktlamb19@comcast.net</t>
  </si>
  <si>
    <t>Katie Lamb</t>
  </si>
  <si>
    <t>Jan 27 to  Feb 16</t>
  </si>
  <si>
    <t>Vito Lenoci</t>
  </si>
  <si>
    <t>Nov 4 to Nov 13</t>
  </si>
  <si>
    <t>1 adult 4 nights then 5 adults 5 nights</t>
  </si>
  <si>
    <t>June25 to July 1</t>
  </si>
  <si>
    <t>5 adults 2 kids</t>
  </si>
  <si>
    <t>howard.kim@sbcglobal.net</t>
  </si>
  <si>
    <t>Jan 20 to 27</t>
  </si>
  <si>
    <t>Douglas Hayes</t>
  </si>
  <si>
    <t>6 adults</t>
  </si>
  <si>
    <t>Elaine Norkus</t>
  </si>
  <si>
    <t>enorkus@outlook.com</t>
  </si>
  <si>
    <t>April 17 to April 22</t>
  </si>
  <si>
    <t>reminder</t>
  </si>
  <si>
    <t xml:space="preserve"> A /D?B?F2/T</t>
  </si>
  <si>
    <t>ALL PAID UP….  DUE NOWMay 25 2017….Aug 5 2016  (PAID ONLY 976) on Aug 5, 2016 PAY ANOTHER 976 (sent PayPal AND HE PAID ) then balance of $4,405 balance on May 25, 2017</t>
  </si>
  <si>
    <r>
      <t xml:space="preserve">August </t>
    </r>
    <r>
      <rPr>
        <b/>
        <sz val="11"/>
        <color rgb="FFFF0000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 xml:space="preserve"> to 26</t>
    </r>
  </si>
  <si>
    <t>A/D/B/F2/</t>
  </si>
  <si>
    <t>Howard Kim (cut leather chair.  Do not allow back)</t>
  </si>
  <si>
    <t>Nov 22 to 26 LATE clean 27th</t>
  </si>
  <si>
    <t>May 25 to 28 Clean 29th</t>
  </si>
  <si>
    <t>Aug 31 to Sep 3 clean sep 4</t>
  </si>
  <si>
    <t>Oct 5 to 8 clean oct 9</t>
  </si>
  <si>
    <t>Nove 21 to 25</t>
  </si>
  <si>
    <t>Dec 25 to Jan 1</t>
  </si>
  <si>
    <t>May 24 to 27 clean 28</t>
  </si>
  <si>
    <t>June probably not because Jason Graduates</t>
  </si>
  <si>
    <t>July 7 to August 11</t>
  </si>
  <si>
    <t>drummerdoug2112@gmail.com</t>
  </si>
  <si>
    <t>Francesajones@onetel.com  44 7979 706450</t>
  </si>
  <si>
    <t>Frances Jones-Willcocks</t>
  </si>
  <si>
    <t>PAID</t>
  </si>
  <si>
    <t>December 16 to 24</t>
  </si>
  <si>
    <t>David Quest</t>
  </si>
  <si>
    <t>david@quest-estates.uk  44 7968 736622</t>
  </si>
  <si>
    <t>3 including 1 child</t>
  </si>
  <si>
    <t>steven-hewitt@sky.com  jtowell11@yahoo.co.uk &lt;-- Melanies mom Janet</t>
  </si>
  <si>
    <t>feb 8 to 15</t>
  </si>
  <si>
    <t>Paul &amp; Beverley Durkin</t>
  </si>
  <si>
    <r>
      <t>2, adults  (</t>
    </r>
    <r>
      <rPr>
        <b/>
        <sz val="11"/>
        <color rgb="FFFF0000"/>
        <rFont val="Calibri"/>
        <family val="2"/>
        <scheme val="minor"/>
      </rPr>
      <t>UNLOCK BIKES</t>
    </r>
    <r>
      <rPr>
        <sz val="11"/>
        <color theme="1"/>
        <rFont val="Calibri"/>
        <family val="2"/>
        <scheme val="minor"/>
      </rPr>
      <t>)-give them code</t>
    </r>
  </si>
  <si>
    <t>YES</t>
  </si>
  <si>
    <t>Dec-14-2018</t>
  </si>
  <si>
    <t>October 21, to 27</t>
  </si>
  <si>
    <t>Nicolle Tomljenovic</t>
  </si>
  <si>
    <t>ntr0228@gmail.com</t>
  </si>
  <si>
    <t>2 daults 1 child</t>
  </si>
  <si>
    <t>jenlo5725@gmail.com</t>
  </si>
  <si>
    <r>
      <t>Paul  Ward (DEPOSIT FOR 2018 HELD)  (great famely)  (</t>
    </r>
    <r>
      <rPr>
        <sz val="11"/>
        <color rgb="FFFF0000"/>
        <rFont val="Calibri"/>
        <family val="2"/>
        <scheme val="minor"/>
      </rPr>
      <t>RC</t>
    </r>
    <r>
      <rPr>
        <sz val="11"/>
        <color rgb="FF2A2A2A"/>
        <rFont val="Calibri"/>
        <family val="2"/>
        <scheme val="minor"/>
      </rPr>
      <t>) Kept 500 deposit AGAIN!!!!!as the deposit SEE E-MAIL… they added 2 days so it became 2356</t>
    </r>
  </si>
  <si>
    <t>vito.lenoci@lenocifragrancegroup.com ilenoci49@aim.com</t>
  </si>
  <si>
    <t>ASSWHOLES</t>
  </si>
  <si>
    <t>March 7, to March 11</t>
  </si>
  <si>
    <t>johnkokai@yahoo.com</t>
  </si>
  <si>
    <t>6-Jan</t>
  </si>
  <si>
    <t>RC</t>
  </si>
  <si>
    <t>May 12 to May 19</t>
  </si>
  <si>
    <r>
      <t xml:space="preserve">Eddie Malinowski  </t>
    </r>
    <r>
      <rPr>
        <b/>
        <sz val="11"/>
        <color rgb="FFFF0000"/>
        <rFont val="Calibri"/>
        <family val="2"/>
        <scheme val="minor"/>
      </rPr>
      <t>RC</t>
    </r>
  </si>
  <si>
    <t>17-Mar</t>
  </si>
  <si>
    <t>April 2 to April 7</t>
  </si>
  <si>
    <t>Sarah Just</t>
  </si>
  <si>
    <t>sarah.just@yahoo.com</t>
  </si>
  <si>
    <t>CHANGED 13, to 20 October-----LEAVING LATE 12PM...…..WAS….October 14 to 21</t>
  </si>
  <si>
    <t xml:space="preserve">February 25, to March 4 </t>
  </si>
  <si>
    <t>4 adults 2 kids</t>
  </si>
  <si>
    <t>March 12, to March 19</t>
  </si>
  <si>
    <r>
      <t>Chris Jackson (</t>
    </r>
    <r>
      <rPr>
        <b/>
        <sz val="11"/>
        <color rgb="FFFF0000"/>
        <rFont val="Calibri"/>
        <family val="2"/>
      </rPr>
      <t>HAVE A BABY SETUP BABY COT</t>
    </r>
    <r>
      <rPr>
        <sz val="11"/>
        <rFont val="Calibri"/>
        <family val="2"/>
      </rPr>
      <t>)</t>
    </r>
  </si>
  <si>
    <t>June 9 to 16</t>
  </si>
  <si>
    <t>Jerry Townson</t>
  </si>
  <si>
    <t>jerry@gtweb.net</t>
  </si>
  <si>
    <t>2adults</t>
  </si>
  <si>
    <t>Jan 2 to Jan 7</t>
  </si>
  <si>
    <t>john2924@sbcglobal.net (203) 537-2412</t>
  </si>
  <si>
    <t>John Williams</t>
  </si>
  <si>
    <t>5 adults</t>
  </si>
  <si>
    <t>bcalsphone@gmail.com</t>
  </si>
  <si>
    <t>Beth Calaway</t>
  </si>
  <si>
    <t>January 7, to January 12</t>
  </si>
  <si>
    <t>7 adults</t>
  </si>
  <si>
    <t>A/D/F1/B/T</t>
  </si>
  <si>
    <t>Jennifer Francis (CHANGE MAR 25 to Mar 30)</t>
  </si>
  <si>
    <t>John Kokai (IN EARLY)</t>
  </si>
  <si>
    <t>March 25 (CHANGED NOW MAR 25 to MAR 30)24 to March 29</t>
  </si>
  <si>
    <t>Michael Theodore</t>
  </si>
  <si>
    <t>mhtheo@gmail.com</t>
  </si>
  <si>
    <t>March 20 to 25</t>
  </si>
  <si>
    <t>2 aduts 2 teens</t>
  </si>
  <si>
    <t>April 28 to May 4</t>
  </si>
  <si>
    <t>Norman Ruppert</t>
  </si>
  <si>
    <t>ncrocki@woh.rr.com (937) 271-0891</t>
  </si>
  <si>
    <t>A/D/F2/T</t>
  </si>
  <si>
    <t>March 30 to Apr 1 CLEAN April 2</t>
  </si>
  <si>
    <t>Feb 16 to 20</t>
  </si>
  <si>
    <t>Feb 21 to Feb 25</t>
  </si>
  <si>
    <r>
      <t>Dos Santos</t>
    </r>
    <r>
      <rPr>
        <sz val="11"/>
        <color rgb="FFFF0000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CLEAN NEXT DAY the 21st</t>
    </r>
  </si>
  <si>
    <r>
      <t>Craig Roberto</t>
    </r>
    <r>
      <rPr>
        <b/>
        <sz val="11"/>
        <color rgb="FFFF0000"/>
        <rFont val="Arial"/>
        <family val="2"/>
      </rPr>
      <t xml:space="preserve"> ARRIVING EARLY 12PM</t>
    </r>
  </si>
  <si>
    <t>NOW-PAID</t>
  </si>
  <si>
    <t>crobo21@gmail.com  516) 581-1202</t>
  </si>
  <si>
    <t>Jim Stone (RC) kept deposit for 2019 will send dates</t>
  </si>
  <si>
    <r>
      <rPr>
        <b/>
        <sz val="11"/>
        <color rgb="FFFF0000"/>
        <rFont val="Calibri"/>
        <family val="2"/>
        <scheme val="minor"/>
      </rPr>
      <t>DAMAGED THE BAR STOOLS then complained to HA NO BACK EVER</t>
    </r>
    <r>
      <rPr>
        <sz val="11"/>
        <color theme="1"/>
        <rFont val="Calibri"/>
        <family val="2"/>
        <scheme val="minor"/>
      </rPr>
      <t xml:space="preserve">  4 adults 2 kids</t>
    </r>
  </si>
  <si>
    <r>
      <t>Kristin Kem</t>
    </r>
    <r>
      <rPr>
        <b/>
        <sz val="11"/>
        <color rgb="FFFF0000"/>
        <rFont val="Calibri"/>
        <family val="2"/>
        <scheme val="minor"/>
      </rPr>
      <t>ezys--thomas videyko SETUP BABY PACK AND PLAY</t>
    </r>
  </si>
  <si>
    <t>kristin.kemezys@gmail.com  anthony@wei.com 603 718 1232</t>
  </si>
  <si>
    <t>chrisjjacks@gmail.com  chrisjjackson@rogers.com</t>
  </si>
  <si>
    <t>june 26 to june jul 1</t>
  </si>
  <si>
    <t xml:space="preserve"> July 18 to August 15</t>
  </si>
  <si>
    <t>July 1 to July 5</t>
  </si>
  <si>
    <t>Steve Wallace</t>
  </si>
  <si>
    <t>1983swallace@gmail.com</t>
  </si>
  <si>
    <t>Michael Foley</t>
  </si>
  <si>
    <t>2 adults 2 kids</t>
  </si>
  <si>
    <t>mffoley1@comcast.net</t>
  </si>
  <si>
    <t>A/D/F1/B/F2/ RR + T INFO</t>
  </si>
  <si>
    <t>Jan 21 to Feb 8</t>
  </si>
  <si>
    <t xml:space="preserve">April 18 to april 22 </t>
  </si>
  <si>
    <t>June 17 to June 23</t>
  </si>
  <si>
    <t>2 adults 4 children</t>
  </si>
  <si>
    <t>djebaugh79@gmail.com  (330) 241-9863</t>
  </si>
  <si>
    <t>David Ebaugh</t>
  </si>
  <si>
    <t xml:space="preserve">NOW </t>
  </si>
  <si>
    <t>/RR+T infoA/D/F1/B/F2</t>
  </si>
  <si>
    <t>Feb 26 to March 4</t>
  </si>
  <si>
    <t>tduffy10@googlemail.com  44 7767023961</t>
  </si>
  <si>
    <r>
      <t>Tracey Duffy (</t>
    </r>
    <r>
      <rPr>
        <b/>
        <sz val="10"/>
        <color rgb="FFFF0000"/>
        <rFont val="Arial"/>
        <family val="2"/>
      </rPr>
      <t>RC</t>
    </r>
    <r>
      <rPr>
        <sz val="10"/>
        <color rgb="FF323F4D"/>
        <rFont val="Arial"/>
        <family val="2"/>
      </rPr>
      <t>)</t>
    </r>
  </si>
  <si>
    <t>A/D/F1/B/F2  - Rtinfo</t>
  </si>
  <si>
    <t>A/D/F1/B/F2/RR+TINFO</t>
  </si>
  <si>
    <t>A/D/B/F2/RTINFO</t>
  </si>
  <si>
    <t>cortney.clements@gmail.com</t>
  </si>
  <si>
    <t>FHA</t>
  </si>
  <si>
    <t>August 18 to 25</t>
  </si>
  <si>
    <t>3 adults 3 kids</t>
  </si>
  <si>
    <t>Cortney Clements EARLY IN</t>
  </si>
  <si>
    <t>March 8 to march 24</t>
  </si>
  <si>
    <t>March 4 to March 8</t>
  </si>
  <si>
    <t>geniectown@gmail.com</t>
  </si>
  <si>
    <t>Genie Wootton (FREE CLIENT AIRBNB FUCKUP) Paid $140 plus 500 breakage refund breakage</t>
  </si>
  <si>
    <t>A/P/F2/T</t>
  </si>
  <si>
    <t>Scott Newton</t>
  </si>
  <si>
    <t>Snhvac25@yahoo.com</t>
  </si>
  <si>
    <t>2 adults homeymoon second maragie</t>
  </si>
  <si>
    <t>Christophe De Tremerie</t>
  </si>
  <si>
    <t>Nov 6 to 13</t>
  </si>
  <si>
    <t>christophedetremerie@gmail.com  Belgium  32 479 56 58 68</t>
  </si>
  <si>
    <t>Shirley arnold</t>
  </si>
  <si>
    <t>ABB</t>
  </si>
  <si>
    <t>Jan 6 to Jan 13</t>
  </si>
  <si>
    <t xml:space="preserve">sarnold5656@yahoo.com-419) 320-3178 </t>
  </si>
  <si>
    <t>David Johnson</t>
  </si>
  <si>
    <t>(206) 218-4579 Dj2167@hotmail.com</t>
  </si>
  <si>
    <t>4 adults business trip pikleball championships</t>
  </si>
  <si>
    <t>April 26-19</t>
  </si>
  <si>
    <t>Nov 16 to Nove 21</t>
  </si>
  <si>
    <t>3 aduults 2 kids</t>
  </si>
  <si>
    <t>FSS</t>
  </si>
  <si>
    <t>Sara Sadowski</t>
  </si>
  <si>
    <t>DIRECT NOW</t>
  </si>
  <si>
    <t>sarasadowski227@gmail.com 715-927-3881</t>
  </si>
  <si>
    <t>F2</t>
  </si>
  <si>
    <t>Dec 18 to 25</t>
  </si>
  <si>
    <t>chaidashi@hotmail.com   1 (503) 746-3329</t>
  </si>
  <si>
    <t>Dec 1 to Dec 6</t>
  </si>
  <si>
    <t>4 adults 2 children</t>
  </si>
  <si>
    <t>Dec 11 to 18</t>
  </si>
  <si>
    <t>Jean Duffy</t>
  </si>
  <si>
    <t xml:space="preserve">(563) 508-9360 emilyvoss@hotmail.com </t>
  </si>
  <si>
    <t>Emily Voss</t>
  </si>
  <si>
    <t>April 5 to April 12</t>
  </si>
  <si>
    <t>HA 11/7/2018</t>
  </si>
  <si>
    <t>3 adults</t>
  </si>
  <si>
    <t>dec 6 to 11</t>
  </si>
  <si>
    <t>ptduffy58@gmail.com  and ptduffy58@gmail.com</t>
  </si>
  <si>
    <t xml:space="preserve">(315) 393-2636  graygables@msn.com </t>
  </si>
  <si>
    <t>A/PAY/F2</t>
  </si>
  <si>
    <t>Brian Kahl </t>
  </si>
  <si>
    <t>Jan 1 ro Jan 6</t>
  </si>
  <si>
    <t>513 725 5663 bkahl95@icloud.com</t>
  </si>
  <si>
    <t>A/D/F1/F2  RR</t>
  </si>
  <si>
    <t>PAID/F2/SENT REFUNDed bk dp</t>
  </si>
  <si>
    <t>A/D/F1/F2</t>
  </si>
  <si>
    <t>3 of us</t>
  </si>
  <si>
    <t>Kim Jackson (brit) Frinds and her used to work for victoria screat</t>
  </si>
  <si>
    <t>5 women</t>
  </si>
  <si>
    <t>FIRST HA TAX</t>
  </si>
  <si>
    <t>KiJackson@sbcglobal.net</t>
  </si>
  <si>
    <t>li chai   HORRIBLE DO NOT ALLOW BACK</t>
  </si>
  <si>
    <t>Connie Augsbury HAD BIG PARTY AND A DOG NEVER AGAIN</t>
  </si>
  <si>
    <t>PAID FREE</t>
  </si>
  <si>
    <t>dwolson19@gmail.com</t>
  </si>
  <si>
    <t>Dan Olson</t>
  </si>
  <si>
    <t>March 24 to March 29</t>
  </si>
  <si>
    <t>4a dults 4 children</t>
  </si>
  <si>
    <t>HA  P</t>
  </si>
  <si>
    <t>Feb 15 to 19</t>
  </si>
  <si>
    <t>March 29 to 31</t>
  </si>
  <si>
    <t>Sharlena Lovy</t>
  </si>
  <si>
    <t>sapaniccia@yahoo.com   1 (248) 821-7253</t>
  </si>
  <si>
    <t>2 adults 3 kids</t>
  </si>
  <si>
    <t>2 adults 1 child</t>
  </si>
  <si>
    <t>Feb 19 to Feb 24</t>
  </si>
  <si>
    <t>lara.k.ellinger@gmail.com   +13126186340</t>
  </si>
  <si>
    <t>Lara Ellinger</t>
  </si>
  <si>
    <t>April 12 to 24 Dag and Jason leave April 21 4:30 PM</t>
  </si>
  <si>
    <r>
      <t xml:space="preserve">May 15 to May 19 </t>
    </r>
    <r>
      <rPr>
        <b/>
        <sz val="11"/>
        <color rgb="FFFF0000"/>
        <rFont val="Calibri"/>
        <family val="2"/>
        <scheme val="minor"/>
      </rPr>
      <t>clean on 20</t>
    </r>
  </si>
  <si>
    <t>March 31, to April 5</t>
  </si>
  <si>
    <t>November 27 to Dec 1 clean Dec 2</t>
  </si>
  <si>
    <t>May 22 to 25, clean on 26th</t>
  </si>
  <si>
    <t>October wait and see</t>
  </si>
  <si>
    <t>December 25 to January 3</t>
  </si>
  <si>
    <t>?????</t>
  </si>
  <si>
    <t>A/P/F2</t>
  </si>
  <si>
    <t>2 adults 1 kids</t>
  </si>
  <si>
    <t>Jan 21 to Feb 14</t>
  </si>
  <si>
    <t>Jim Stone (RC again) kept500 deposit</t>
  </si>
  <si>
    <t>A/D/F1/B/F2/RTINFO/T</t>
  </si>
  <si>
    <t>John Bowling</t>
  </si>
  <si>
    <t>jsb76210@gmail.com 1 817-235-6636</t>
  </si>
  <si>
    <t>FR</t>
  </si>
  <si>
    <t>October 27 to November 26</t>
  </si>
  <si>
    <t>2 adults in their 70's</t>
  </si>
  <si>
    <t xml:space="preserve">April 25, tpo May 6 </t>
  </si>
  <si>
    <t>Laurie Hernandez</t>
  </si>
  <si>
    <t>laurieher@gmail.com</t>
  </si>
  <si>
    <t>June 18, to 22</t>
  </si>
  <si>
    <r>
      <t xml:space="preserve">A/D/F1/B/ NEED </t>
    </r>
    <r>
      <rPr>
        <b/>
        <sz val="11"/>
        <color rgb="FFFF0000"/>
        <rFont val="Calibri"/>
        <family val="2"/>
        <scheme val="minor"/>
      </rPr>
      <t>TO SEND F2</t>
    </r>
  </si>
  <si>
    <t>Feb 22 to March 7</t>
  </si>
  <si>
    <t>1-651-366-9475  dlang459@gmail.com</t>
  </si>
  <si>
    <t>Diane Lang</t>
  </si>
  <si>
    <r>
      <t xml:space="preserve">Spe 22, to </t>
    </r>
    <r>
      <rPr>
        <b/>
        <sz val="11"/>
        <color rgb="FFFF0000"/>
        <rFont val="Calibri"/>
        <family val="2"/>
        <scheme val="minor"/>
      </rPr>
      <t>29  gave quaote for 6 not 7 nights</t>
    </r>
  </si>
  <si>
    <r>
      <t xml:space="preserve">Samantha Shimmon </t>
    </r>
    <r>
      <rPr>
        <b/>
        <sz val="9"/>
        <color rgb="FFFF0000"/>
        <rFont val="Segoe UI"/>
        <family val="2"/>
      </rPr>
      <t>RC MANUAL BILLING</t>
    </r>
  </si>
  <si>
    <t>June 7 to 17</t>
  </si>
  <si>
    <t>samandme@icloud.com</t>
  </si>
  <si>
    <t>Laura Johnson (wanted to bring more people called her and told her I would cancel if she did)</t>
  </si>
  <si>
    <t>2 adults one child</t>
  </si>
  <si>
    <t>D/ NEED AGREEMENT AND POOL STUFF</t>
  </si>
  <si>
    <t>Sent F2</t>
  </si>
  <si>
    <t>October 12 to October 18</t>
  </si>
  <si>
    <t>(970) 630-6343 dmpecar@gmail.com</t>
  </si>
  <si>
    <t>Doreen Pecar</t>
  </si>
  <si>
    <t>6 women</t>
  </si>
  <si>
    <t>D/SENT F2 by MISTAKE, NEED BALANCE</t>
  </si>
  <si>
    <t>October 18 to 20 CHANGED</t>
  </si>
  <si>
    <t>October 20 to October 27</t>
  </si>
  <si>
    <r>
      <t xml:space="preserve">Lee Gehman </t>
    </r>
    <r>
      <rPr>
        <b/>
        <sz val="11"/>
        <color rgb="FFFF0000"/>
        <rFont val="Calibri"/>
        <family val="2"/>
        <scheme val="minor"/>
      </rPr>
      <t>(RC)</t>
    </r>
  </si>
  <si>
    <t>PAID SEND 500 REFUND AFTER</t>
  </si>
  <si>
    <t>August 31 to Sep 2 clean on the 3</t>
  </si>
  <si>
    <t>CHANGE</t>
  </si>
  <si>
    <t>December 25 to Jan 1 clean on Jan 2</t>
  </si>
  <si>
    <t>Feb 14 to Feb 17 clean Feb 18</t>
  </si>
  <si>
    <t>November 25 to 29 clean 30th</t>
  </si>
  <si>
    <t>Feb 12 to Feb 15 clean Feb 16</t>
  </si>
  <si>
    <t>Mar 19, to 21, clean 22</t>
  </si>
  <si>
    <r>
      <t>April 10 to April 18</t>
    </r>
    <r>
      <rPr>
        <b/>
        <sz val="11"/>
        <color rgb="FFFF0000"/>
        <rFont val="Calibri"/>
        <family val="2"/>
        <scheme val="minor"/>
      </rPr>
      <t xml:space="preserve"> clean same day</t>
    </r>
  </si>
  <si>
    <t>May 28 to 31, clean on June 1</t>
  </si>
  <si>
    <t>September 3 to 6 clean on 7</t>
  </si>
  <si>
    <t>November 24 to 28 clean 30th</t>
  </si>
  <si>
    <t>August not likely</t>
  </si>
  <si>
    <t>August 18 to 22</t>
  </si>
  <si>
    <t>SENT PAYPAL PAID</t>
  </si>
  <si>
    <t>Doug Fee</t>
  </si>
  <si>
    <t>dmacf4@yahoo.com</t>
  </si>
  <si>
    <t>NEED  PAPERWORK</t>
  </si>
  <si>
    <t>Jan 18 to Jan 20 clean  on Jan 21</t>
  </si>
  <si>
    <t>June 11 to june 16</t>
  </si>
  <si>
    <t>April 16-2020</t>
  </si>
  <si>
    <t>MANNUALLY</t>
  </si>
  <si>
    <t>March 8 to March 22</t>
  </si>
  <si>
    <r>
      <t>Tracey Duffy (</t>
    </r>
    <r>
      <rPr>
        <b/>
        <sz val="11"/>
        <color rgb="FFFF0000"/>
        <rFont val="Calibri"/>
        <family val="2"/>
        <scheme val="minor"/>
      </rPr>
      <t>RC</t>
    </r>
    <r>
      <rPr>
        <sz val="11"/>
        <color theme="1"/>
        <rFont val="Calibri"/>
        <family val="2"/>
        <scheme val="minor"/>
      </rPr>
      <t>)</t>
    </r>
  </si>
  <si>
    <t xml:space="preserve">January 4 to January 17 </t>
  </si>
  <si>
    <t xml:space="preserve">Melinda Roberts </t>
  </si>
  <si>
    <t>(217) 202-0935  mlinrobe@yahoo.com</t>
  </si>
  <si>
    <t>3 adults (college daughter)</t>
  </si>
  <si>
    <t>RR none so far</t>
  </si>
  <si>
    <t>October 25 to Nov 1</t>
  </si>
  <si>
    <t>Lee Gehman (RC) (held deposit from last year)</t>
  </si>
  <si>
    <t>1-416-402-9750   je.marczak@sympatico.ca</t>
  </si>
  <si>
    <t>Old pool</t>
  </si>
  <si>
    <t>A/D/F1/500</t>
  </si>
  <si>
    <t>2 adults 3 teens</t>
  </si>
  <si>
    <t>juliarueschemeyer@msn.com</t>
  </si>
  <si>
    <t>December 21, to 25</t>
  </si>
  <si>
    <r>
      <rPr>
        <b/>
        <sz val="11"/>
        <color rgb="FFFF0000"/>
        <rFont val="Calibri"/>
        <family val="2"/>
        <scheme val="minor"/>
      </rPr>
      <t>REFUNDED!!!!!</t>
    </r>
    <r>
      <rPr>
        <sz val="11"/>
        <color rgb="FFFF0000"/>
        <rFont val="Calibri"/>
        <family val="2"/>
        <scheme val="minor"/>
      </rPr>
      <t>NOW PAID 8,500 for the 500 breakage deposit refund the 500</t>
    </r>
  </si>
  <si>
    <t>PAID BILL MANUALLY</t>
  </si>
  <si>
    <t>Julia Rueschemeye (Messy bit OK)</t>
  </si>
  <si>
    <t>MANNUALLY ALLPAID</t>
  </si>
  <si>
    <t xml:space="preserve">2 adults 2 kids </t>
  </si>
  <si>
    <r>
      <t>Dos Santos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>CHANGE</t>
    </r>
  </si>
  <si>
    <r>
      <t>April 9 to April 18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clean same day</t>
    </r>
  </si>
  <si>
    <t xml:space="preserve">2 adults </t>
  </si>
  <si>
    <t>Paid initial deposit</t>
  </si>
  <si>
    <t>&lt;- US                Rented Nights-&gt;</t>
  </si>
  <si>
    <t>Bookings Total             of those RC=</t>
  </si>
  <si>
    <t>&lt;-LEAVE BLANK</t>
  </si>
  <si>
    <t>SITE-Paid</t>
  </si>
  <si>
    <t>A/D/F1/500/REF</t>
  </si>
  <si>
    <t>SITE Paid</t>
  </si>
  <si>
    <t>Still to come…Make sure all SITE that are paid say SITE-Paid</t>
  </si>
  <si>
    <t>May 27 to June 1</t>
  </si>
  <si>
    <t>2 adults but 2 more adults (children) and 4 kids (grandchildren) will visit</t>
  </si>
  <si>
    <t>(614) 975-2651 bufferzone@wowway.com</t>
  </si>
  <si>
    <t>A/D/F1/PAID NEED TO SEND F2</t>
  </si>
  <si>
    <t>PUT ALL DONE TO REMOVE FROM STILL TO COME</t>
  </si>
  <si>
    <t>A/F1/F2</t>
  </si>
  <si>
    <r>
      <rPr>
        <b/>
        <sz val="11"/>
        <color rgb="FFFF0000"/>
        <rFont val="Calibri"/>
        <family val="2"/>
        <scheme val="minor"/>
      </rPr>
      <t>CANCEL</t>
    </r>
    <r>
      <rPr>
        <sz val="11"/>
        <color theme="1"/>
        <rFont val="Calibri"/>
        <family val="2"/>
        <scheme val="minor"/>
      </rPr>
      <t xml:space="preserve"> March 22 to April 5</t>
    </r>
  </si>
  <si>
    <r>
      <t xml:space="preserve">2 adults </t>
    </r>
    <r>
      <rPr>
        <b/>
        <sz val="11"/>
        <color rgb="FFFF0000"/>
        <rFont val="Calibri"/>
        <family val="2"/>
        <scheme val="minor"/>
      </rPr>
      <t>ADJUST THIS SHEET MOVE DATA TO NEW DATES)</t>
    </r>
  </si>
  <si>
    <r>
      <rPr>
        <b/>
        <sz val="11"/>
        <color rgb="FFFF0000"/>
        <rFont val="Calibri"/>
        <family val="2"/>
      </rPr>
      <t>CANCEL</t>
    </r>
    <r>
      <rPr>
        <sz val="11"/>
        <rFont val="Calibri"/>
        <family val="2"/>
      </rPr>
      <t xml:space="preserve"> Jeff and Lisa Buffer  </t>
    </r>
    <r>
      <rPr>
        <b/>
        <sz val="11"/>
        <color rgb="FFFF0000"/>
        <rFont val="Calibri"/>
        <family val="2"/>
      </rPr>
      <t>SEND F2</t>
    </r>
    <r>
      <rPr>
        <sz val="11"/>
        <rFont val="Calibri"/>
        <family val="2"/>
      </rPr>
      <t xml:space="preserve"> (witing onvisitors pool releases)</t>
    </r>
  </si>
  <si>
    <t>Marianne.meijer@hotmail.nl</t>
  </si>
  <si>
    <r>
      <rPr>
        <b/>
        <sz val="11"/>
        <color rgb="FFFF0000"/>
        <rFont val="Calibri"/>
        <family val="2"/>
      </rPr>
      <t>CANCEL</t>
    </r>
    <r>
      <rPr>
        <sz val="11"/>
        <rFont val="Calibri"/>
        <family val="2"/>
      </rPr>
      <t xml:space="preserve"> John Deane</t>
    </r>
    <r>
      <rPr>
        <b/>
        <sz val="11"/>
        <color rgb="FFFF0000"/>
        <rFont val="Calibri"/>
        <family val="2"/>
      </rPr>
      <t xml:space="preserve"> RC</t>
    </r>
  </si>
  <si>
    <t>June 19, to 22 clean on  23</t>
  </si>
  <si>
    <t>July 10, to jul 20 clean 21</t>
  </si>
  <si>
    <t>august 7 to august 19 clean 20</t>
  </si>
  <si>
    <r>
      <t xml:space="preserve">John &amp; Eva Marczak </t>
    </r>
    <r>
      <rPr>
        <b/>
        <sz val="11"/>
        <color rgb="FFFF0000"/>
        <rFont val="Segoe UI"/>
        <family val="2"/>
      </rPr>
      <t>CkeepCANCEL keep payment WILL MOVE TO OTHER DATES</t>
    </r>
  </si>
  <si>
    <t>September 5 to 7 clean on 8</t>
  </si>
  <si>
    <t>June 26 to July 1</t>
  </si>
  <si>
    <t>jcough20@ford.com</t>
  </si>
  <si>
    <t>HOMEAWAY</t>
  </si>
  <si>
    <t>Coughlin, Jeffrey-NEED AGREEMENT</t>
  </si>
  <si>
    <r>
      <t>3 adults</t>
    </r>
    <r>
      <rPr>
        <sz val="11"/>
        <color rgb="FFFF0000"/>
        <rFont val="Calibri"/>
        <family val="2"/>
        <scheme val="minor"/>
      </rPr>
      <t xml:space="preserve"> FINAL SENT</t>
    </r>
  </si>
  <si>
    <t>7 Mar to 13 Mar waitng on paymnet homaway co uk</t>
  </si>
  <si>
    <t>robert scholl</t>
  </si>
  <si>
    <t>October 7 to 12</t>
  </si>
  <si>
    <t>1 adult 3 kids</t>
  </si>
  <si>
    <t>bnkrtz@yahoo.com</t>
  </si>
  <si>
    <t>Ben Kurtz</t>
  </si>
  <si>
    <t>Feb 17 to 27</t>
  </si>
  <si>
    <t>SPECIAL DEALSENT FINAL</t>
  </si>
  <si>
    <t>561) 629-2249 clairequinn@hargray.com      clairequinn79@gmail.com</t>
  </si>
  <si>
    <r>
      <t>9/30/2019</t>
    </r>
    <r>
      <rPr>
        <b/>
        <sz val="11"/>
        <color rgb="FFFF0000"/>
        <rFont val="Calibri"/>
        <family val="2"/>
        <scheme val="minor"/>
      </rPr>
      <t xml:space="preserve"> PAID</t>
    </r>
  </si>
  <si>
    <t>MANUALLY  sent F2</t>
  </si>
  <si>
    <t>SENT FINAL PLUS BILL FOR 300 FOR EXTRA GUEST--PAID</t>
  </si>
  <si>
    <t>SENT FINAL F2</t>
  </si>
  <si>
    <t>Dcember 19 to 24</t>
  </si>
  <si>
    <t>Todd Felch</t>
  </si>
  <si>
    <t>HOMEAWAY-UK</t>
  </si>
  <si>
    <t>tfelch@gmail.com  423-621-9249</t>
  </si>
  <si>
    <r>
      <t xml:space="preserve">5 adults </t>
    </r>
    <r>
      <rPr>
        <sz val="11"/>
        <color rgb="FFFF0000"/>
        <rFont val="Calibri"/>
        <family val="2"/>
        <scheme val="minor"/>
      </rPr>
      <t>sent final F2 paperwork all done</t>
    </r>
  </si>
  <si>
    <t xml:space="preserve">5 adults </t>
  </si>
  <si>
    <r>
      <rPr>
        <b/>
        <sz val="11"/>
        <color rgb="FFFF0000"/>
        <rFont val="Calibri"/>
        <family val="2"/>
      </rPr>
      <t>cancel hold (500 ONLY) to next year</t>
    </r>
    <r>
      <rPr>
        <sz val="11"/>
        <rFont val="Calibri"/>
        <family val="2"/>
      </rPr>
      <t xml:space="preserve"> Jim Stone (RC again) kept500 deposit</t>
    </r>
  </si>
  <si>
    <t>Jan 18 to 24</t>
  </si>
  <si>
    <t>Oct 23 to Oct 30</t>
  </si>
  <si>
    <r>
      <t xml:space="preserve">Lee Gehman </t>
    </r>
    <r>
      <rPr>
        <sz val="11"/>
        <color rgb="FFFF0000"/>
        <rFont val="Calibri"/>
        <family val="2"/>
      </rPr>
      <t xml:space="preserve">(RC) </t>
    </r>
    <r>
      <rPr>
        <sz val="11"/>
        <rFont val="Calibri"/>
        <family val="2"/>
      </rPr>
      <t>(held deposit from last year)</t>
    </r>
  </si>
  <si>
    <t>2 adults DO SOMETHING BACK EVERY YEAR</t>
  </si>
  <si>
    <t>Mar 14 to Mar 19</t>
  </si>
  <si>
    <t>Laura Devaisher</t>
  </si>
  <si>
    <t>8124807751  ldevaisher@yahoo.com</t>
  </si>
  <si>
    <t>Jan 24 to Feb 12</t>
  </si>
  <si>
    <t>amcleanmaddog@comcast.net  him  (603) 344-0771 her 603-370-1709</t>
  </si>
  <si>
    <r>
      <t xml:space="preserve">2 people, some visitors </t>
    </r>
    <r>
      <rPr>
        <b/>
        <sz val="11"/>
        <color rgb="FFFF0000"/>
        <rFont val="Calibri"/>
        <family val="2"/>
        <scheme val="minor"/>
      </rPr>
      <t>Sent f2</t>
    </r>
  </si>
  <si>
    <t>February 18 to February 22, clean on the 23rd</t>
  </si>
  <si>
    <t>April 8th to April 17, clean on the 18th</t>
  </si>
  <si>
    <t>DEC 11 to DEC 18</t>
  </si>
  <si>
    <t>Gary Hunter</t>
  </si>
  <si>
    <t>DONE 11/23/2020</t>
  </si>
  <si>
    <t>hunterhandc@gmail.com 1 308-414-2206</t>
  </si>
  <si>
    <t>Feb 27  To March 6</t>
  </si>
  <si>
    <t>616.481.4713  jboyko1@comcast.net</t>
  </si>
  <si>
    <t>Joan Boyko</t>
  </si>
  <si>
    <t>SENT F2</t>
  </si>
  <si>
    <t>April 18 to 25</t>
  </si>
  <si>
    <t>Kelley Knox</t>
  </si>
  <si>
    <t>7703152871 mrkelleyknox@gmail.com</t>
  </si>
  <si>
    <t>NEED PAPERWORK</t>
  </si>
  <si>
    <t>March 28 to April 4</t>
  </si>
  <si>
    <t>Lee Gehman (RC) ALSO COMING LATTER THIS YEAR  (held deposit from last year)</t>
  </si>
  <si>
    <t>2 adults DO SOMETHING BACK EVERY YEAR (discounted to 2,200)</t>
  </si>
  <si>
    <t>Paid</t>
  </si>
  <si>
    <t>Jan 4 to Jan 11</t>
  </si>
  <si>
    <t>2 adults 3 children</t>
  </si>
  <si>
    <t>Kate Hardy</t>
  </si>
  <si>
    <t>NEED TO SEND AGREEMENT</t>
  </si>
  <si>
    <t xml:space="preserve"> NEED PAPWERWORK</t>
  </si>
  <si>
    <t>410-925-6663 katehardy96@gmail.com</t>
  </si>
  <si>
    <t>James Duncan</t>
  </si>
  <si>
    <t>Jan 12 to Jan 18</t>
  </si>
  <si>
    <t xml:space="preserve">+1 (573) 999-5738 / jmduncan@centurytel.net </t>
  </si>
  <si>
    <t>PAID ALL SET</t>
  </si>
  <si>
    <t>ALL OF JULY</t>
  </si>
  <si>
    <t>Stevie Straka</t>
  </si>
  <si>
    <t>1 (734) 755-7294 steviejbartman@gmail.com</t>
  </si>
  <si>
    <t>April 25 to May 5</t>
  </si>
  <si>
    <t>April 5 to April 10</t>
  </si>
  <si>
    <t>2 aduls 2 children</t>
  </si>
  <si>
    <t>Adrienne Knox</t>
  </si>
  <si>
    <t xml:space="preserve">Adrienne.Knox@gmail.com 1 804-873-9768 </t>
  </si>
  <si>
    <t>sent bAck the 500 refund.</t>
  </si>
  <si>
    <t>Got Paperwork.</t>
  </si>
  <si>
    <r>
      <t xml:space="preserve">3 adults 2 kids </t>
    </r>
    <r>
      <rPr>
        <b/>
        <sz val="11"/>
        <color rgb="FFFF0000"/>
        <rFont val="Calibri"/>
        <family val="2"/>
        <scheme val="minor"/>
      </rPr>
      <t>Sent F2</t>
    </r>
  </si>
  <si>
    <t>Ryan Krietsch</t>
  </si>
  <si>
    <t>Mar 22 to Mar 27</t>
  </si>
  <si>
    <t>2 adults 4 kids</t>
  </si>
  <si>
    <t>rkrietsch@yahoo.com  (702) 306-4352</t>
  </si>
  <si>
    <r>
      <t>4 adults 4 children</t>
    </r>
    <r>
      <rPr>
        <b/>
        <sz val="11"/>
        <color rgb="FFFF0000"/>
        <rFont val="Calibri"/>
        <family val="2"/>
        <scheme val="minor"/>
      </rPr>
      <t xml:space="preserve"> Sent refund</t>
    </r>
  </si>
  <si>
    <r>
      <t xml:space="preserve">June 30 to </t>
    </r>
    <r>
      <rPr>
        <b/>
        <sz val="11"/>
        <color rgb="FFFF0000"/>
        <rFont val="Calibri"/>
        <family val="2"/>
        <scheme val="minor"/>
      </rPr>
      <t>Augus</t>
    </r>
    <r>
      <rPr>
        <sz val="11"/>
        <color theme="1"/>
        <rFont val="Calibri"/>
        <family val="2"/>
        <scheme val="minor"/>
      </rPr>
      <t>t 5</t>
    </r>
  </si>
  <si>
    <t>January 17 to February 18</t>
  </si>
  <si>
    <t>January 14 to January 17</t>
  </si>
  <si>
    <t>GotPAPERWORK</t>
  </si>
  <si>
    <t>Claire Quin (Broke her ARM)</t>
  </si>
  <si>
    <r>
      <t>Alison and Warren McLean</t>
    </r>
    <r>
      <rPr>
        <b/>
        <sz val="11"/>
        <color rgb="FFFF0000"/>
        <rFont val="Calibri"/>
        <family val="2"/>
        <scheme val="minor"/>
      </rPr>
      <t xml:space="preserve"> (ASSWHOLE GAVE US 4 STARS NEVER BACK)</t>
    </r>
  </si>
  <si>
    <t>Feb 18 to Feb 25</t>
  </si>
  <si>
    <t>1 (630) 849-1271 elonija@gmail.com</t>
  </si>
  <si>
    <r>
      <t xml:space="preserve">Elona Matuziene </t>
    </r>
    <r>
      <rPr>
        <b/>
        <sz val="10"/>
        <color rgb="FFFF0000"/>
        <rFont val="Arial"/>
        <family val="2"/>
      </rPr>
      <t>FILTHY NEVER AGAIN</t>
    </r>
  </si>
  <si>
    <t>brusholloh@aol.com 513 260 0477</t>
  </si>
  <si>
    <r>
      <t xml:space="preserve">2 adults </t>
    </r>
    <r>
      <rPr>
        <sz val="11"/>
        <color rgb="FFFF0000"/>
        <rFont val="Calibri"/>
        <family val="2"/>
        <scheme val="minor"/>
      </rPr>
      <t>WAITING ON REVIEW</t>
    </r>
  </si>
  <si>
    <t>Oct 15 to 17 clean 18</t>
  </si>
  <si>
    <t>June 10 to June 14</t>
  </si>
  <si>
    <t>Anita Russo (local)</t>
  </si>
  <si>
    <t>(239) 777-8598 a.russo@live.com</t>
  </si>
  <si>
    <t>6 adults 1 teen</t>
  </si>
  <si>
    <t xml:space="preserve"> GOT PAYMENT AND PAPERWORK</t>
  </si>
  <si>
    <t>Feb 24 to Mar 5 2022</t>
  </si>
  <si>
    <t>(248) 207-9924 sandraskucik@gmail.com</t>
  </si>
  <si>
    <t>sandra kucik</t>
  </si>
  <si>
    <t>3 adults, mom, daughter and son</t>
  </si>
  <si>
    <t>May 27 to May 30</t>
  </si>
  <si>
    <t>June 23 to July 11</t>
  </si>
  <si>
    <t>Sept 2 to 6</t>
  </si>
  <si>
    <t>August 15 to 22</t>
  </si>
  <si>
    <t>Nov 23 to 28</t>
  </si>
  <si>
    <t>Dec 25 to Jan 2</t>
  </si>
  <si>
    <t>1 419-632-2571 dragons89.aw@gmail.com</t>
  </si>
  <si>
    <t>GoPaperworkSENTf2</t>
  </si>
  <si>
    <t xml:space="preserve"> ASKED FOR REVIEW</t>
  </si>
  <si>
    <t>Oct 30 to Nove 8</t>
  </si>
  <si>
    <t>March 25 to April 8</t>
  </si>
  <si>
    <t>2 People</t>
  </si>
  <si>
    <t>Need paperwork REFUND $500</t>
  </si>
  <si>
    <r>
      <t>Claire Quinn  (</t>
    </r>
    <r>
      <rPr>
        <b/>
        <sz val="11"/>
        <color rgb="FFFF0000"/>
        <rFont val="Segoe UI"/>
        <family val="2"/>
      </rPr>
      <t>RC</t>
    </r>
    <r>
      <rPr>
        <sz val="11"/>
        <color rgb="FF212121"/>
        <rFont val="Segoe UI"/>
        <family val="2"/>
      </rPr>
      <t>)</t>
    </r>
  </si>
  <si>
    <r>
      <t>Jim Stone (</t>
    </r>
    <r>
      <rPr>
        <sz val="11"/>
        <color rgb="FFFF0000"/>
        <rFont val="Calibri"/>
        <family val="2"/>
        <scheme val="minor"/>
      </rPr>
      <t>RC</t>
    </r>
    <r>
      <rPr>
        <sz val="11"/>
        <rFont val="Calibri"/>
        <family val="2"/>
        <scheme val="minor"/>
      </rPr>
      <t>)</t>
    </r>
  </si>
  <si>
    <r>
      <t>Lee Gehman (</t>
    </r>
    <r>
      <rPr>
        <b/>
        <sz val="11"/>
        <color rgb="FFFF0000"/>
        <rFont val="Segoe UI"/>
        <family val="2"/>
      </rPr>
      <t>RC</t>
    </r>
    <r>
      <rPr>
        <sz val="11"/>
        <color rgb="FF212121"/>
        <rFont val="Segoe UI"/>
        <family val="2"/>
      </rPr>
      <t>) (held deposit from last year)</t>
    </r>
  </si>
  <si>
    <r>
      <t xml:space="preserve">Tracey Duffy </t>
    </r>
    <r>
      <rPr>
        <b/>
        <sz val="11"/>
        <color rgb="FFFF0000"/>
        <rFont val="Calibri"/>
        <family val="2"/>
        <scheme val="minor"/>
      </rPr>
      <t>(RC</t>
    </r>
    <r>
      <rPr>
        <sz val="11"/>
        <color theme="1"/>
        <rFont val="Calibri"/>
        <family val="2"/>
        <scheme val="minor"/>
      </rPr>
      <t>)</t>
    </r>
  </si>
  <si>
    <t>April 18 to May 2.</t>
  </si>
  <si>
    <r>
      <t>Ashley Weis (</t>
    </r>
    <r>
      <rPr>
        <b/>
        <sz val="11"/>
        <color rgb="FFFF0000"/>
        <rFont val="Calibri"/>
        <family val="2"/>
      </rPr>
      <t>PIGS, WANT EVERYTHING, BROKE OUTLET INHALLWAY</t>
    </r>
    <r>
      <rPr>
        <sz val="11"/>
        <rFont val="Calibri"/>
        <family val="2"/>
      </rPr>
      <t>)</t>
    </r>
  </si>
  <si>
    <t xml:space="preserve">June 21 to 28 </t>
  </si>
  <si>
    <t>3 adults 1 child</t>
  </si>
  <si>
    <t>Tara Flager</t>
  </si>
  <si>
    <t>845 337 -0236 flagler52009@yahoo.com</t>
  </si>
  <si>
    <t>Tara Flager (RC)</t>
  </si>
  <si>
    <t>3 adults one child</t>
  </si>
  <si>
    <r>
      <t xml:space="preserve">Marianne Meijer (RC) </t>
    </r>
    <r>
      <rPr>
        <b/>
        <sz val="11"/>
        <color rgb="FFFF0000"/>
        <rFont val="Calibri"/>
        <family val="2"/>
      </rPr>
      <t>CANCEL</t>
    </r>
  </si>
  <si>
    <r>
      <t xml:space="preserve">August </t>
    </r>
    <r>
      <rPr>
        <sz val="11"/>
        <color rgb="FFFF0000"/>
        <rFont val="Calibri"/>
        <family val="2"/>
        <scheme val="minor"/>
      </rPr>
      <t>(8)</t>
    </r>
    <r>
      <rPr>
        <sz val="11"/>
        <color theme="1"/>
        <rFont val="Calibri"/>
        <family val="2"/>
        <scheme val="minor"/>
      </rPr>
      <t xml:space="preserve"> 9 to 14</t>
    </r>
  </si>
  <si>
    <t>REFUNDED $500</t>
  </si>
  <si>
    <t xml:space="preserve"> PAID SEND F2 CLOSER AUG 21 must pay 1723.59</t>
  </si>
  <si>
    <t>REFUNDED THE $500  PAID SENT f2 Sep 4 mus pay 2,131.95</t>
  </si>
  <si>
    <t>(614) 537-0449 coldfusion74@yahoo.com</t>
  </si>
  <si>
    <t>2 adults · 2 children</t>
  </si>
  <si>
    <t>December 15 to December 25</t>
  </si>
  <si>
    <t xml:space="preserve"> SENT F2 Homeaway</t>
  </si>
  <si>
    <t>October Lets see</t>
  </si>
  <si>
    <t>October 22 to October 29.</t>
  </si>
  <si>
    <t>Needs to pay balance on August 27</t>
  </si>
  <si>
    <t>Vadim Goldsman PAIN IN THE ASS got $2900 off of us because the internet broke.  Then complaine he though he was entitle to a refund of breakage deposit never charged, on and on. Had invited then to the club.  NO WAY we are always booked.</t>
  </si>
  <si>
    <r>
      <t xml:space="preserve">March 18, to March 20 </t>
    </r>
    <r>
      <rPr>
        <b/>
        <sz val="11"/>
        <color rgb="FFFF0000"/>
        <rFont val="Calibri"/>
        <family val="2"/>
        <scheme val="minor"/>
      </rPr>
      <t>CLEAN SAME DAY</t>
    </r>
  </si>
  <si>
    <t>Jean Bondoc</t>
  </si>
  <si>
    <t>NEED PAPERWORK AND EMAIL</t>
  </si>
  <si>
    <t>6bondocs@gmail.com 16083546219</t>
  </si>
  <si>
    <t>March 11 to March 18</t>
  </si>
  <si>
    <t>612-554-2256 cakemna@gmail.com</t>
  </si>
  <si>
    <t>January 13 to January 16</t>
  </si>
  <si>
    <t>February 17 to February 21</t>
  </si>
  <si>
    <t>jstone154@sbcglobal.net 816-510-9912</t>
  </si>
  <si>
    <t>March 17, to March 19</t>
  </si>
  <si>
    <t>April 6th to April 16</t>
  </si>
  <si>
    <t>May 26 to May 29</t>
  </si>
  <si>
    <t>June</t>
  </si>
  <si>
    <t>July-August</t>
  </si>
  <si>
    <t>Nov 22 to 26</t>
  </si>
  <si>
    <t>Sept 1 to 4</t>
  </si>
  <si>
    <t>January 16 to February 17</t>
  </si>
  <si>
    <t>BILL DECEMBER 5 for the 10045.25</t>
  </si>
  <si>
    <t>marianne.meijer@hotmail.nl</t>
  </si>
  <si>
    <t>Spt 22 to Oct 9</t>
  </si>
  <si>
    <r>
      <t>Marianne Meijer (</t>
    </r>
    <r>
      <rPr>
        <sz val="11"/>
        <color rgb="FFFF0000"/>
        <rFont val="Calibri"/>
        <family val="2"/>
      </rPr>
      <t xml:space="preserve">RC </t>
    </r>
    <r>
      <rPr>
        <sz val="11"/>
        <rFont val="Calibri"/>
        <family val="2"/>
      </rPr>
      <t>Ruud's wide)</t>
    </r>
  </si>
  <si>
    <t>Tom Stewardson</t>
  </si>
  <si>
    <t>stewardsonsolutionsinc@gmail.com  5193810057</t>
  </si>
  <si>
    <t>2 people NICE COUPLE SHOULD BECOME MEBERS</t>
  </si>
  <si>
    <t> Marh 21 to April 6.</t>
  </si>
  <si>
    <r>
      <t>Lee Gehman (</t>
    </r>
    <r>
      <rPr>
        <b/>
        <sz val="11"/>
        <color rgb="FFFF0000"/>
        <rFont val="Calibri"/>
        <family val="2"/>
        <scheme val="minor"/>
      </rPr>
      <t>RC</t>
    </r>
    <r>
      <rPr>
        <sz val="11"/>
        <color theme="1"/>
        <rFont val="Calibri"/>
        <family val="2"/>
        <scheme val="minor"/>
      </rPr>
      <t>) (held deposit from last year)</t>
    </r>
  </si>
  <si>
    <t>2 people Back every year</t>
  </si>
  <si>
    <t>CANCEL</t>
  </si>
  <si>
    <t>NEEDS TO PAY BY FEB 7</t>
  </si>
  <si>
    <t>843-705-49865 and mobile 561-445 0860 clairequinn79@gmail.com</t>
  </si>
  <si>
    <t>March 5 to 18  (FIX SCHDULE)</t>
  </si>
  <si>
    <r>
      <t xml:space="preserve">CanDee Kemna </t>
    </r>
    <r>
      <rPr>
        <b/>
        <sz val="10"/>
        <color rgb="FFFF0000"/>
        <rFont val="Arial"/>
        <family val="2"/>
      </rPr>
      <t>PROBLEM CANCELED</t>
    </r>
  </si>
  <si>
    <t>May 14 to 21</t>
  </si>
  <si>
    <t>Tracey Hayes</t>
  </si>
  <si>
    <t>12624700219 thayes@toppers.com</t>
  </si>
  <si>
    <t>2 adults one baby</t>
  </si>
  <si>
    <t>Need paperwork</t>
  </si>
  <si>
    <t xml:space="preserve"> ALL SET</t>
  </si>
  <si>
    <t>May 2 to May 14</t>
  </si>
  <si>
    <t xml:space="preserve"> REFUND 500</t>
  </si>
  <si>
    <t>John &amp; Eva Marczak MOVED FROM OTHER DATES</t>
  </si>
  <si>
    <t>January 12 to January 15</t>
  </si>
  <si>
    <t>February 16 to February 20</t>
  </si>
  <si>
    <t/>
  </si>
  <si>
    <t>Paid additional paypal 1385.28 SENT AGREEMENT WAITING</t>
  </si>
  <si>
    <t>WAITING FOR BALANCE PAYMENT REFUND $500</t>
  </si>
  <si>
    <t>Elizabeth Taylor</t>
  </si>
  <si>
    <t>4 People (two couples)</t>
  </si>
  <si>
    <t>1 540-735-5417  eclar6hg@gmail.com</t>
  </si>
  <si>
    <t>April 21 to 30 WAS 28 BUT EXTENDED VIA PAYPAL</t>
  </si>
  <si>
    <t xml:space="preserve">July 11 to July 18, </t>
  </si>
  <si>
    <t>Dagmar</t>
  </si>
  <si>
    <t>January 2, to January 12</t>
  </si>
  <si>
    <t>Eithne Clarke</t>
  </si>
  <si>
    <t>1-407-417-0057 -- eithne_clarke@hotmail.com</t>
  </si>
  <si>
    <t>Fewb 21 to March 21  WAS Feb 21 to Mar 17-and march 21 check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</si>
</sst>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&quot;$&quot;#,##0"/>
  </numFmts>
  <fonts count="90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0"/>
      <name val="Verdana"/>
      <family val="2"/>
    </font>
    <font>
      <sz val="10"/>
      <color indexed="10"/>
      <name val="Verdana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2"/>
      <name val="Calibri"/>
      <family val="2"/>
    </font>
    <font>
      <sz val="12"/>
      <color indexed="63"/>
      <name val="Calibri"/>
      <family val="2"/>
    </font>
    <font>
      <sz val="12"/>
      <color indexed="8"/>
      <name val="Calibri"/>
      <family val="2"/>
    </font>
    <font>
      <sz val="12"/>
      <color indexed="8"/>
      <name val="Segoe UI"/>
      <family val="2"/>
    </font>
    <font>
      <sz val="12"/>
      <color indexed="63"/>
      <name val="Segoe UI"/>
      <family val="2"/>
    </font>
    <font>
      <sz val="10"/>
      <color indexed="8"/>
      <name val="Segoe UI"/>
      <family val="2"/>
    </font>
    <font>
      <b/>
      <sz val="12"/>
      <color indexed="10"/>
      <name val="Verdana"/>
      <family val="2"/>
    </font>
    <font>
      <sz val="11"/>
      <color indexed="63"/>
      <name val="Calibri"/>
      <family val="2"/>
    </font>
    <font>
      <sz val="11"/>
      <color indexed="8"/>
      <name val="Arial"/>
      <family val="2"/>
    </font>
    <font>
      <b/>
      <sz val="18"/>
      <color indexed="10"/>
      <name val="Calibri"/>
      <family val="2"/>
    </font>
    <font>
      <b/>
      <sz val="11"/>
      <color indexed="8"/>
      <name val="Calibri"/>
      <family val="2"/>
    </font>
    <font>
      <sz val="14"/>
      <color indexed="10"/>
      <name val="Calibri"/>
      <family val="2"/>
    </font>
    <font>
      <b/>
      <sz val="10"/>
      <color indexed="10"/>
      <name val="Verdana"/>
      <family val="2"/>
    </font>
    <font>
      <sz val="12"/>
      <color indexed="8"/>
      <name val="Times New Roman"/>
      <family val="1"/>
    </font>
    <font>
      <sz val="9.1"/>
      <color indexed="63"/>
      <name val="Segoe UI"/>
      <family val="2"/>
    </font>
    <font>
      <sz val="8"/>
      <name val="Calibri"/>
      <family val="2"/>
    </font>
    <font>
      <u/>
      <sz val="8.8000000000000007"/>
      <color theme="1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63"/>
      <name val="Calibri"/>
      <family val="2"/>
      <scheme val="minor"/>
    </font>
    <font>
      <sz val="11"/>
      <color rgb="FF2A2A2A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rgb="FF1F497D"/>
      <name val="Calibri"/>
      <family val="2"/>
    </font>
    <font>
      <b/>
      <u/>
      <sz val="11"/>
      <color rgb="FFFF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2"/>
      <color rgb="FF000000"/>
      <name val="Times New Roman"/>
      <family val="1"/>
    </font>
    <font>
      <sz val="11"/>
      <color indexed="10"/>
      <name val="Calibri"/>
      <family val="2"/>
      <scheme val="minor"/>
    </font>
    <font>
      <b/>
      <sz val="11"/>
      <color rgb="FFFF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2A2A2A"/>
      <name val="Calibri"/>
      <family val="2"/>
      <scheme val="minor"/>
    </font>
    <font>
      <b/>
      <sz val="10"/>
      <color indexed="8"/>
      <name val="Segoe UI"/>
      <family val="2"/>
    </font>
    <font>
      <sz val="11"/>
      <color rgb="FF333333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666666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name val="Segoe UI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2"/>
      <color rgb="FF000000"/>
      <name val="Arial"/>
      <family val="2"/>
    </font>
    <font>
      <sz val="11"/>
      <color rgb="FF353E44"/>
      <name val="Arial"/>
      <family val="2"/>
    </font>
    <font>
      <sz val="11"/>
      <color rgb="FF333333"/>
      <name val="Arial"/>
      <family val="2"/>
    </font>
    <font>
      <sz val="9.65"/>
      <color rgb="FF000000"/>
      <name val="Segoe UI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9"/>
      <color rgb="FF212121"/>
      <name val="Segoe UI"/>
      <family val="2"/>
    </font>
    <font>
      <sz val="11"/>
      <color rgb="FF212121"/>
      <name val="Calibri"/>
      <family val="2"/>
      <scheme val="minor"/>
    </font>
    <font>
      <b/>
      <sz val="11"/>
      <color rgb="FFFF0000"/>
      <name val="Arial"/>
      <family val="2"/>
    </font>
    <font>
      <b/>
      <sz val="8"/>
      <color rgb="FF333333"/>
      <name val="Arial"/>
      <family val="2"/>
    </font>
    <font>
      <sz val="11"/>
      <name val="Arial"/>
      <family val="2"/>
    </font>
    <font>
      <sz val="10"/>
      <color rgb="FF323F4D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1"/>
      <name val="Segoe UI"/>
      <family val="2"/>
    </font>
    <font>
      <b/>
      <sz val="8"/>
      <color rgb="FF484848"/>
      <name val="Arial"/>
      <family val="2"/>
    </font>
    <font>
      <u/>
      <sz val="11"/>
      <name val="Calibri"/>
      <family val="2"/>
    </font>
    <font>
      <sz val="8"/>
      <color rgb="FF484848"/>
      <name val="Arial"/>
      <family val="2"/>
    </font>
    <font>
      <sz val="8"/>
      <color rgb="FF333333"/>
      <name val="Arial"/>
      <family val="2"/>
    </font>
    <font>
      <sz val="12"/>
      <color rgb="FF333333"/>
      <name val="Arial"/>
      <family val="2"/>
    </font>
    <font>
      <sz val="13"/>
      <color rgb="FF333333"/>
      <name val="Segoe UI"/>
      <family val="2"/>
    </font>
    <font>
      <sz val="11"/>
      <color rgb="FF212121"/>
      <name val="Segoe UI"/>
      <family val="2"/>
    </font>
    <font>
      <sz val="9"/>
      <color rgb="FF201F1E"/>
      <name val="Segoe UI"/>
      <family val="2"/>
    </font>
    <font>
      <b/>
      <sz val="9"/>
      <color rgb="FFFF0000"/>
      <name val="Segoe UI"/>
      <family val="2"/>
    </font>
    <font>
      <b/>
      <sz val="18"/>
      <color rgb="FFFF0000"/>
      <name val="Calibri"/>
      <family val="2"/>
    </font>
    <font>
      <b/>
      <u/>
      <sz val="20"/>
      <color rgb="FFFF0000"/>
      <name val="Calibri"/>
      <family val="2"/>
    </font>
    <font>
      <sz val="9"/>
      <color rgb="FF000000"/>
      <name val="Calibri"/>
      <family val="2"/>
      <scheme val="minor"/>
    </font>
    <font>
      <b/>
      <sz val="11"/>
      <color rgb="FFFF0000"/>
      <name val="Segoe UI"/>
      <family val="2"/>
    </font>
    <font>
      <sz val="11"/>
      <color rgb="FF484848"/>
      <name val="Arial"/>
      <family val="2"/>
    </font>
    <font>
      <sz val="10"/>
      <color rgb="FF201F1E"/>
      <name val="Arial"/>
      <family val="2"/>
    </font>
    <font>
      <b/>
      <sz val="11"/>
      <name val="Calibri"/>
      <family val="2"/>
    </font>
    <font>
      <sz val="10"/>
      <color rgb="FF292929"/>
      <name val="Arial"/>
      <family val="2"/>
    </font>
    <font>
      <b/>
      <i/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sz val="12"/>
      <color theme="1"/>
      <name val="Arial"/>
      <family val="2"/>
    </font>
    <font>
      <u/>
      <sz val="8.8000000000000007"/>
      <name val="Calibri"/>
      <family val="2"/>
    </font>
    <font>
      <b/>
      <i/>
      <u/>
      <sz val="11"/>
      <color rgb="FFFF0000"/>
      <name val="Calibri"/>
      <family val="2"/>
      <scheme val="minor"/>
    </font>
    <font>
      <sz val="8.8000000000000007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9E70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tted">
        <color rgb="FFD4D4D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0" fillId="0" borderId="0" xfId="0" applyAlignment="1">
      <alignment horizontal="right"/>
    </xf>
    <xf numFmtId="10" fontId="0" fillId="0" borderId="0" xfId="0" applyNumberFormat="1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horizontal="left"/>
    </xf>
    <xf numFmtId="16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2" borderId="0" xfId="0" applyFill="1"/>
    <xf numFmtId="0" fontId="5" fillId="2" borderId="0" xfId="0" applyFont="1" applyFill="1"/>
    <xf numFmtId="0" fontId="0" fillId="2" borderId="0" xfId="0" applyFill="1" applyAlignment="1">
      <alignment horizontal="left"/>
    </xf>
    <xf numFmtId="0" fontId="2" fillId="2" borderId="0" xfId="0" applyFont="1" applyFill="1"/>
    <xf numFmtId="0" fontId="0" fillId="2" borderId="0" xfId="0" applyFill="1" applyAlignment="1">
      <alignment horizontal="right"/>
    </xf>
    <xf numFmtId="16" fontId="0" fillId="2" borderId="0" xfId="0" applyNumberFormat="1" applyFill="1" applyAlignment="1">
      <alignment horizontal="right"/>
    </xf>
    <xf numFmtId="0" fontId="1" fillId="2" borderId="0" xfId="0" applyFont="1" applyFill="1" applyAlignment="1">
      <alignment horizontal="right"/>
    </xf>
    <xf numFmtId="0" fontId="15" fillId="3" borderId="0" xfId="0" applyFont="1" applyFill="1"/>
    <xf numFmtId="0" fontId="5" fillId="3" borderId="0" xfId="0" applyFont="1" applyFill="1"/>
    <xf numFmtId="0" fontId="0" fillId="3" borderId="0" xfId="0" applyFill="1"/>
    <xf numFmtId="0" fontId="0" fillId="3" borderId="0" xfId="0" applyFill="1" applyAlignment="1">
      <alignment horizontal="left"/>
    </xf>
    <xf numFmtId="0" fontId="2" fillId="3" borderId="0" xfId="0" applyFont="1" applyFill="1"/>
    <xf numFmtId="0" fontId="0" fillId="3" borderId="0" xfId="0" applyFill="1" applyAlignment="1">
      <alignment horizontal="right"/>
    </xf>
    <xf numFmtId="16" fontId="0" fillId="3" borderId="0" xfId="0" applyNumberFormat="1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4" borderId="0" xfId="0" applyFill="1"/>
    <xf numFmtId="0" fontId="5" fillId="4" borderId="0" xfId="0" applyFont="1" applyFill="1"/>
    <xf numFmtId="0" fontId="0" fillId="4" borderId="0" xfId="0" applyFill="1" applyAlignment="1">
      <alignment horizontal="left"/>
    </xf>
    <xf numFmtId="0" fontId="2" fillId="4" borderId="0" xfId="0" applyFont="1" applyFill="1"/>
    <xf numFmtId="0" fontId="0" fillId="4" borderId="0" xfId="0" applyFill="1" applyAlignment="1">
      <alignment horizontal="right"/>
    </xf>
    <xf numFmtId="16" fontId="0" fillId="4" borderId="0" xfId="0" applyNumberFormat="1" applyFill="1" applyAlignment="1">
      <alignment horizontal="right"/>
    </xf>
    <xf numFmtId="0" fontId="1" fillId="4" borderId="0" xfId="0" applyFont="1" applyFill="1" applyAlignment="1">
      <alignment horizontal="right"/>
    </xf>
    <xf numFmtId="0" fontId="0" fillId="5" borderId="0" xfId="0" applyFill="1"/>
    <xf numFmtId="0" fontId="0" fillId="5" borderId="0" xfId="0" applyFill="1" applyAlignment="1">
      <alignment horizontal="left"/>
    </xf>
    <xf numFmtId="0" fontId="1" fillId="5" borderId="0" xfId="0" applyFont="1" applyFill="1" applyAlignment="1">
      <alignment horizontal="right"/>
    </xf>
    <xf numFmtId="0" fontId="0" fillId="5" borderId="0" xfId="0" applyFill="1" applyAlignment="1">
      <alignment horizontal="right"/>
    </xf>
    <xf numFmtId="0" fontId="0" fillId="6" borderId="0" xfId="0" applyFill="1" applyAlignment="1">
      <alignment horizontal="right"/>
    </xf>
    <xf numFmtId="0" fontId="0" fillId="6" borderId="0" xfId="0" applyFill="1"/>
    <xf numFmtId="0" fontId="16" fillId="0" borderId="0" xfId="0" applyFont="1" applyAlignment="1">
      <alignment horizontal="right"/>
    </xf>
    <xf numFmtId="164" fontId="0" fillId="0" borderId="0" xfId="0" applyNumberFormat="1"/>
    <xf numFmtId="0" fontId="1" fillId="0" borderId="0" xfId="0" applyFont="1"/>
    <xf numFmtId="2" fontId="17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5" borderId="0" xfId="0" applyFont="1" applyFill="1"/>
    <xf numFmtId="0" fontId="1" fillId="5" borderId="0" xfId="0" applyFont="1" applyFill="1"/>
    <xf numFmtId="0" fontId="4" fillId="5" borderId="0" xfId="0" applyFont="1" applyFill="1" applyAlignment="1">
      <alignment horizontal="right"/>
    </xf>
    <xf numFmtId="2" fontId="16" fillId="0" borderId="0" xfId="0" applyNumberFormat="1" applyFont="1"/>
    <xf numFmtId="0" fontId="0" fillId="0" borderId="0" xfId="0" applyAlignment="1">
      <alignment horizontal="center"/>
    </xf>
    <xf numFmtId="0" fontId="0" fillId="7" borderId="0" xfId="0" applyFill="1" applyAlignment="1">
      <alignment horizontal="right"/>
    </xf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  <xf numFmtId="1" fontId="0" fillId="3" borderId="0" xfId="0" applyNumberFormat="1" applyFill="1" applyAlignment="1">
      <alignment horizontal="right"/>
    </xf>
    <xf numFmtId="1" fontId="0" fillId="0" borderId="0" xfId="0" applyNumberFormat="1" applyAlignment="1">
      <alignment horizontal="right"/>
    </xf>
    <xf numFmtId="1" fontId="0" fillId="5" borderId="0" xfId="0" applyNumberFormat="1" applyFill="1" applyAlignment="1">
      <alignment horizontal="right"/>
    </xf>
    <xf numFmtId="1" fontId="0" fillId="2" borderId="0" xfId="0" applyNumberFormat="1" applyFill="1" applyAlignment="1">
      <alignment horizontal="right"/>
    </xf>
    <xf numFmtId="1" fontId="0" fillId="4" borderId="0" xfId="0" applyNumberFormat="1" applyFill="1" applyAlignment="1">
      <alignment horizontal="right"/>
    </xf>
    <xf numFmtId="1" fontId="0" fillId="0" borderId="0" xfId="0" applyNumberFormat="1"/>
    <xf numFmtId="165" fontId="0" fillId="0" borderId="0" xfId="0" applyNumberFormat="1"/>
    <xf numFmtId="0" fontId="1" fillId="3" borderId="0" xfId="0" applyFont="1" applyFill="1" applyAlignment="1">
      <alignment horizontal="left"/>
    </xf>
    <xf numFmtId="16" fontId="1" fillId="5" borderId="0" xfId="0" applyNumberFormat="1" applyFont="1" applyFill="1" applyAlignment="1">
      <alignment horizontal="left"/>
    </xf>
    <xf numFmtId="165" fontId="1" fillId="5" borderId="0" xfId="0" applyNumberFormat="1" applyFont="1" applyFill="1"/>
    <xf numFmtId="165" fontId="1" fillId="0" borderId="0" xfId="0" applyNumberFormat="1" applyFont="1"/>
    <xf numFmtId="165" fontId="1" fillId="5" borderId="0" xfId="0" applyNumberFormat="1" applyFont="1" applyFill="1" applyAlignment="1">
      <alignment horizontal="right"/>
    </xf>
    <xf numFmtId="16" fontId="1" fillId="0" borderId="0" xfId="0" applyNumberFormat="1" applyFont="1" applyAlignment="1">
      <alignment horizontal="left"/>
    </xf>
    <xf numFmtId="165" fontId="4" fillId="0" borderId="0" xfId="0" applyNumberFormat="1" applyFont="1"/>
    <xf numFmtId="0" fontId="4" fillId="0" borderId="0" xfId="0" applyFont="1"/>
    <xf numFmtId="0" fontId="1" fillId="3" borderId="0" xfId="0" applyFont="1" applyFill="1"/>
    <xf numFmtId="0" fontId="4" fillId="3" borderId="0" xfId="0" applyFont="1" applyFill="1" applyAlignment="1">
      <alignment horizontal="right"/>
    </xf>
    <xf numFmtId="1" fontId="0" fillId="3" borderId="0" xfId="0" applyNumberFormat="1" applyFill="1"/>
    <xf numFmtId="0" fontId="22" fillId="0" borderId="0" xfId="1" applyAlignment="1" applyProtection="1"/>
    <xf numFmtId="0" fontId="19" fillId="0" borderId="0" xfId="0" applyFont="1"/>
    <xf numFmtId="0" fontId="20" fillId="0" borderId="0" xfId="0" applyFont="1"/>
    <xf numFmtId="0" fontId="0" fillId="0" borderId="0" xfId="0" applyAlignment="1">
      <alignment vertical="top"/>
    </xf>
    <xf numFmtId="0" fontId="5" fillId="8" borderId="0" xfId="0" applyFont="1" applyFill="1"/>
    <xf numFmtId="0" fontId="0" fillId="8" borderId="0" xfId="0" applyFill="1"/>
    <xf numFmtId="0" fontId="23" fillId="8" borderId="0" xfId="0" applyFont="1" applyFill="1"/>
    <xf numFmtId="0" fontId="24" fillId="0" borderId="0" xfId="0" applyFont="1"/>
    <xf numFmtId="0" fontId="0" fillId="10" borderId="0" xfId="0" applyFill="1" applyAlignment="1">
      <alignment horizontal="right"/>
    </xf>
    <xf numFmtId="0" fontId="23" fillId="0" borderId="0" xfId="0" applyFont="1" applyAlignment="1">
      <alignment horizontal="left"/>
    </xf>
    <xf numFmtId="0" fontId="27" fillId="8" borderId="0" xfId="0" applyFont="1" applyFill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left"/>
    </xf>
    <xf numFmtId="0" fontId="26" fillId="0" borderId="0" xfId="0" applyFont="1"/>
    <xf numFmtId="0" fontId="0" fillId="12" borderId="0" xfId="0" applyFill="1"/>
    <xf numFmtId="0" fontId="0" fillId="13" borderId="0" xfId="0" applyFill="1"/>
    <xf numFmtId="0" fontId="0" fillId="9" borderId="0" xfId="0" applyFill="1"/>
    <xf numFmtId="0" fontId="0" fillId="11" borderId="0" xfId="0" applyFill="1"/>
    <xf numFmtId="16" fontId="5" fillId="0" borderId="0" xfId="0" applyNumberFormat="1" applyFont="1" applyAlignment="1">
      <alignment horizontal="right"/>
    </xf>
    <xf numFmtId="0" fontId="28" fillId="0" borderId="0" xfId="0" applyFont="1" applyAlignment="1">
      <alignment vertical="center"/>
    </xf>
    <xf numFmtId="0" fontId="0" fillId="14" borderId="0" xfId="0" applyFill="1"/>
    <xf numFmtId="1" fontId="16" fillId="0" borderId="0" xfId="0" applyNumberFormat="1" applyFont="1" applyAlignment="1">
      <alignment horizontal="right"/>
    </xf>
    <xf numFmtId="1" fontId="1" fillId="5" borderId="0" xfId="0" applyNumberFormat="1" applyFont="1" applyFill="1" applyAlignment="1">
      <alignment horizontal="left"/>
    </xf>
    <xf numFmtId="1" fontId="5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left"/>
    </xf>
    <xf numFmtId="0" fontId="0" fillId="15" borderId="0" xfId="0" applyFill="1"/>
    <xf numFmtId="0" fontId="0" fillId="16" borderId="0" xfId="0" applyFill="1"/>
    <xf numFmtId="0" fontId="0" fillId="17" borderId="0" xfId="0" applyFill="1"/>
    <xf numFmtId="0" fontId="5" fillId="16" borderId="0" xfId="0" applyFont="1" applyFill="1"/>
    <xf numFmtId="0" fontId="4" fillId="16" borderId="0" xfId="0" applyFont="1" applyFill="1" applyAlignment="1">
      <alignment horizontal="right"/>
    </xf>
    <xf numFmtId="0" fontId="1" fillId="16" borderId="0" xfId="0" applyFont="1" applyFill="1"/>
    <xf numFmtId="0" fontId="4" fillId="16" borderId="0" xfId="0" applyFont="1" applyFill="1"/>
    <xf numFmtId="0" fontId="3" fillId="16" borderId="0" xfId="0" applyFont="1" applyFill="1"/>
    <xf numFmtId="165" fontId="1" fillId="16" borderId="0" xfId="0" applyNumberFormat="1" applyFont="1" applyFill="1" applyAlignment="1">
      <alignment horizontal="right"/>
    </xf>
    <xf numFmtId="0" fontId="0" fillId="16" borderId="0" xfId="0" applyFill="1" applyAlignment="1">
      <alignment horizontal="right"/>
    </xf>
    <xf numFmtId="165" fontId="1" fillId="16" borderId="0" xfId="0" applyNumberFormat="1" applyFont="1" applyFill="1"/>
    <xf numFmtId="16" fontId="1" fillId="16" borderId="0" xfId="0" applyNumberFormat="1" applyFont="1" applyFill="1" applyAlignment="1">
      <alignment horizontal="left"/>
    </xf>
    <xf numFmtId="1" fontId="1" fillId="16" borderId="0" xfId="0" applyNumberFormat="1" applyFont="1" applyFill="1" applyAlignment="1">
      <alignment horizontal="left"/>
    </xf>
    <xf numFmtId="1" fontId="0" fillId="16" borderId="0" xfId="0" applyNumberFormat="1" applyFill="1" applyAlignment="1">
      <alignment horizontal="right"/>
    </xf>
    <xf numFmtId="0" fontId="1" fillId="16" borderId="0" xfId="0" applyFont="1" applyFill="1" applyAlignment="1">
      <alignment horizontal="right"/>
    </xf>
    <xf numFmtId="0" fontId="0" fillId="16" borderId="0" xfId="0" applyFill="1" applyAlignment="1">
      <alignment horizontal="left"/>
    </xf>
    <xf numFmtId="0" fontId="29" fillId="0" borderId="0" xfId="0" applyFont="1"/>
    <xf numFmtId="0" fontId="23" fillId="0" borderId="0" xfId="0" applyFont="1"/>
    <xf numFmtId="0" fontId="30" fillId="16" borderId="0" xfId="0" applyFont="1" applyFill="1"/>
    <xf numFmtId="0" fontId="18" fillId="5" borderId="0" xfId="0" applyFont="1" applyFill="1"/>
    <xf numFmtId="165" fontId="5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1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center"/>
    </xf>
    <xf numFmtId="1" fontId="23" fillId="0" borderId="0" xfId="0" applyNumberFormat="1" applyFont="1"/>
    <xf numFmtId="0" fontId="27" fillId="0" borderId="0" xfId="0" applyFont="1" applyAlignment="1">
      <alignment horizontal="right"/>
    </xf>
    <xf numFmtId="0" fontId="31" fillId="0" borderId="0" xfId="0" applyFont="1"/>
    <xf numFmtId="0" fontId="23" fillId="10" borderId="0" xfId="0" applyFont="1" applyFill="1" applyAlignment="1">
      <alignment horizontal="right"/>
    </xf>
    <xf numFmtId="0" fontId="26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33" fillId="0" borderId="0" xfId="0" applyFont="1"/>
    <xf numFmtId="0" fontId="5" fillId="8" borderId="0" xfId="0" applyFont="1" applyFill="1" applyAlignment="1">
      <alignment horizontal="left"/>
    </xf>
    <xf numFmtId="16" fontId="23" fillId="0" borderId="0" xfId="0" applyNumberFormat="1" applyFont="1" applyAlignment="1">
      <alignment horizontal="right"/>
    </xf>
    <xf numFmtId="0" fontId="36" fillId="0" borderId="0" xfId="0" applyFont="1"/>
    <xf numFmtId="0" fontId="37" fillId="0" borderId="0" xfId="0" applyFont="1" applyAlignment="1">
      <alignment horizontal="right"/>
    </xf>
    <xf numFmtId="0" fontId="39" fillId="0" borderId="0" xfId="0" applyFont="1"/>
    <xf numFmtId="0" fontId="27" fillId="5" borderId="0" xfId="0" applyFont="1" applyFill="1" applyAlignment="1">
      <alignment horizontal="right"/>
    </xf>
    <xf numFmtId="0" fontId="0" fillId="0" borderId="0" xfId="0" applyAlignment="1">
      <alignment vertical="center"/>
    </xf>
    <xf numFmtId="0" fontId="41" fillId="0" borderId="0" xfId="0" applyFont="1"/>
    <xf numFmtId="0" fontId="40" fillId="0" borderId="0" xfId="0" applyFont="1"/>
    <xf numFmtId="0" fontId="42" fillId="0" borderId="0" xfId="0" applyFont="1"/>
    <xf numFmtId="16" fontId="26" fillId="0" borderId="0" xfId="0" applyNumberFormat="1" applyFont="1" applyAlignment="1">
      <alignment horizontal="left"/>
    </xf>
    <xf numFmtId="0" fontId="43" fillId="0" borderId="0" xfId="0" applyFont="1"/>
    <xf numFmtId="0" fontId="0" fillId="18" borderId="0" xfId="0" applyFill="1" applyAlignment="1">
      <alignment horizontal="left"/>
    </xf>
    <xf numFmtId="0" fontId="0" fillId="14" borderId="0" xfId="0" applyFill="1" applyAlignment="1">
      <alignment horizontal="right"/>
    </xf>
    <xf numFmtId="0" fontId="44" fillId="0" borderId="0" xfId="0" applyFont="1"/>
    <xf numFmtId="0" fontId="45" fillId="0" borderId="0" xfId="0" applyFont="1"/>
    <xf numFmtId="0" fontId="46" fillId="0" borderId="0" xfId="0" applyFont="1"/>
    <xf numFmtId="0" fontId="32" fillId="0" borderId="0" xfId="0" applyFont="1" applyAlignment="1">
      <alignment horizontal="left"/>
    </xf>
    <xf numFmtId="16" fontId="0" fillId="0" borderId="0" xfId="0" applyNumberFormat="1"/>
    <xf numFmtId="0" fontId="0" fillId="19" borderId="0" xfId="0" applyFill="1"/>
    <xf numFmtId="0" fontId="26" fillId="5" borderId="0" xfId="0" applyFont="1" applyFill="1"/>
    <xf numFmtId="16" fontId="23" fillId="0" borderId="0" xfId="0" applyNumberFormat="1" applyFont="1" applyAlignment="1">
      <alignment horizontal="left"/>
    </xf>
    <xf numFmtId="0" fontId="0" fillId="11" borderId="0" xfId="0" applyFill="1" applyAlignment="1">
      <alignment horizontal="left"/>
    </xf>
    <xf numFmtId="0" fontId="26" fillId="8" borderId="0" xfId="0" applyFont="1" applyFill="1"/>
    <xf numFmtId="16" fontId="0" fillId="20" borderId="0" xfId="0" applyNumberFormat="1" applyFill="1" applyAlignment="1">
      <alignment horizontal="right"/>
    </xf>
    <xf numFmtId="0" fontId="49" fillId="0" borderId="0" xfId="0" applyFont="1"/>
    <xf numFmtId="0" fontId="25" fillId="0" borderId="0" xfId="0" applyFont="1"/>
    <xf numFmtId="0" fontId="38" fillId="0" borderId="0" xfId="0" applyFont="1"/>
    <xf numFmtId="16" fontId="0" fillId="11" borderId="0" xfId="0" applyNumberFormat="1" applyFill="1" applyAlignment="1">
      <alignment horizontal="right"/>
    </xf>
    <xf numFmtId="0" fontId="23" fillId="21" borderId="0" xfId="0" applyFont="1" applyFill="1"/>
    <xf numFmtId="2" fontId="0" fillId="0" borderId="0" xfId="0" applyNumberFormat="1" applyAlignment="1">
      <alignment horizontal="right"/>
    </xf>
    <xf numFmtId="0" fontId="51" fillId="0" borderId="0" xfId="0" applyFont="1"/>
    <xf numFmtId="0" fontId="0" fillId="10" borderId="0" xfId="0" applyFill="1"/>
    <xf numFmtId="49" fontId="0" fillId="0" borderId="0" xfId="0" applyNumberFormat="1" applyAlignment="1">
      <alignment horizontal="right"/>
    </xf>
    <xf numFmtId="0" fontId="48" fillId="0" borderId="0" xfId="0" applyFont="1"/>
    <xf numFmtId="0" fontId="47" fillId="0" borderId="0" xfId="0" applyFont="1"/>
    <xf numFmtId="0" fontId="52" fillId="0" borderId="0" xfId="0" applyFont="1"/>
    <xf numFmtId="0" fontId="23" fillId="10" borderId="0" xfId="0" applyFont="1" applyFill="1" applyAlignment="1">
      <alignment horizontal="left"/>
    </xf>
    <xf numFmtId="0" fontId="0" fillId="10" borderId="0" xfId="0" applyFill="1" applyAlignment="1">
      <alignment horizontal="left"/>
    </xf>
    <xf numFmtId="0" fontId="0" fillId="22" borderId="0" xfId="0" applyFill="1" applyAlignment="1">
      <alignment horizontal="left"/>
    </xf>
    <xf numFmtId="0" fontId="53" fillId="0" borderId="0" xfId="0" applyFont="1"/>
    <xf numFmtId="2" fontId="0" fillId="0" borderId="0" xfId="0" applyNumberFormat="1"/>
    <xf numFmtId="16" fontId="30" fillId="0" borderId="0" xfId="0" applyNumberFormat="1" applyFont="1" applyAlignment="1">
      <alignment horizontal="left"/>
    </xf>
    <xf numFmtId="0" fontId="55" fillId="0" borderId="0" xfId="0" applyFont="1"/>
    <xf numFmtId="0" fontId="26" fillId="0" borderId="0" xfId="0" applyFont="1" applyAlignment="1">
      <alignment horizontal="left" vertical="top"/>
    </xf>
    <xf numFmtId="0" fontId="38" fillId="0" borderId="0" xfId="0" applyFont="1" applyAlignment="1">
      <alignment horizontal="left"/>
    </xf>
    <xf numFmtId="0" fontId="54" fillId="0" borderId="0" xfId="0" applyFont="1" applyAlignment="1">
      <alignment horizontal="left"/>
    </xf>
    <xf numFmtId="164" fontId="0" fillId="0" borderId="0" xfId="0" applyNumberFormat="1" applyAlignment="1">
      <alignment horizontal="right"/>
    </xf>
    <xf numFmtId="0" fontId="26" fillId="0" borderId="0" xfId="0" applyFont="1" applyAlignment="1">
      <alignment horizontal="left"/>
    </xf>
    <xf numFmtId="0" fontId="5" fillId="21" borderId="0" xfId="0" applyFont="1" applyFill="1"/>
    <xf numFmtId="2" fontId="25" fillId="0" borderId="0" xfId="0" applyNumberFormat="1" applyFont="1" applyAlignment="1">
      <alignment horizontal="right"/>
    </xf>
    <xf numFmtId="16" fontId="49" fillId="0" borderId="0" xfId="0" applyNumberFormat="1" applyFont="1"/>
    <xf numFmtId="0" fontId="56" fillId="0" borderId="0" xfId="0" applyFont="1"/>
    <xf numFmtId="4" fontId="0" fillId="0" borderId="0" xfId="0" applyNumberFormat="1"/>
    <xf numFmtId="4" fontId="5" fillId="0" borderId="0" xfId="0" applyNumberFormat="1" applyFont="1" applyAlignment="1">
      <alignment horizontal="left"/>
    </xf>
    <xf numFmtId="4" fontId="2" fillId="0" borderId="0" xfId="0" applyNumberFormat="1" applyFont="1"/>
    <xf numFmtId="4" fontId="0" fillId="10" borderId="0" xfId="0" applyNumberFormat="1" applyFill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left"/>
    </xf>
    <xf numFmtId="16" fontId="25" fillId="0" borderId="0" xfId="0" applyNumberFormat="1" applyFont="1" applyAlignment="1">
      <alignment horizontal="right"/>
    </xf>
    <xf numFmtId="3" fontId="23" fillId="0" borderId="0" xfId="0" applyNumberFormat="1" applyFont="1"/>
    <xf numFmtId="16" fontId="26" fillId="0" borderId="0" xfId="0" applyNumberFormat="1" applyFont="1" applyAlignment="1">
      <alignment horizontal="right"/>
    </xf>
    <xf numFmtId="1" fontId="25" fillId="0" borderId="0" xfId="0" applyNumberFormat="1" applyFont="1" applyAlignment="1">
      <alignment horizontal="right"/>
    </xf>
    <xf numFmtId="16" fontId="23" fillId="0" borderId="0" xfId="0" applyNumberFormat="1" applyFont="1"/>
    <xf numFmtId="4" fontId="5" fillId="0" borderId="0" xfId="0" applyNumberFormat="1" applyFont="1"/>
    <xf numFmtId="0" fontId="38" fillId="22" borderId="0" xfId="0" applyFont="1" applyFill="1" applyAlignment="1">
      <alignment horizontal="left"/>
    </xf>
    <xf numFmtId="0" fontId="25" fillId="22" borderId="0" xfId="0" applyFont="1" applyFill="1"/>
    <xf numFmtId="0" fontId="58" fillId="0" borderId="0" xfId="0" applyFont="1"/>
    <xf numFmtId="2" fontId="1" fillId="0" borderId="0" xfId="0" applyNumberFormat="1" applyFont="1"/>
    <xf numFmtId="2" fontId="38" fillId="0" borderId="0" xfId="0" applyNumberFormat="1" applyFont="1" applyAlignment="1">
      <alignment horizontal="left"/>
    </xf>
    <xf numFmtId="2" fontId="2" fillId="0" borderId="0" xfId="0" applyNumberFormat="1" applyFont="1"/>
    <xf numFmtId="2" fontId="0" fillId="10" borderId="0" xfId="0" applyNumberFormat="1" applyFill="1" applyAlignment="1">
      <alignment horizontal="right"/>
    </xf>
    <xf numFmtId="2" fontId="4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/>
    </xf>
    <xf numFmtId="2" fontId="5" fillId="0" borderId="0" xfId="0" applyNumberFormat="1" applyFont="1"/>
    <xf numFmtId="2" fontId="5" fillId="0" borderId="0" xfId="0" applyNumberFormat="1" applyFont="1" applyAlignment="1">
      <alignment horizontal="left"/>
    </xf>
    <xf numFmtId="0" fontId="57" fillId="8" borderId="0" xfId="0" applyFont="1" applyFill="1" applyAlignment="1">
      <alignment horizontal="left"/>
    </xf>
    <xf numFmtId="2" fontId="0" fillId="0" borderId="0" xfId="0" quotePrefix="1" applyNumberFormat="1" applyAlignment="1">
      <alignment horizontal="right"/>
    </xf>
    <xf numFmtId="0" fontId="54" fillId="0" borderId="0" xfId="0" applyFont="1"/>
    <xf numFmtId="2" fontId="0" fillId="0" borderId="0" xfId="0" applyNumberFormat="1" applyAlignment="1">
      <alignment horizontal="left"/>
    </xf>
    <xf numFmtId="0" fontId="43" fillId="10" borderId="0" xfId="0" applyFont="1" applyFill="1"/>
    <xf numFmtId="16" fontId="0" fillId="0" borderId="0" xfId="0" quotePrefix="1" applyNumberFormat="1" applyAlignment="1">
      <alignment horizontal="right"/>
    </xf>
    <xf numFmtId="0" fontId="60" fillId="23" borderId="0" xfId="0" applyFont="1" applyFill="1"/>
    <xf numFmtId="0" fontId="5" fillId="0" borderId="0" xfId="1" applyFont="1" applyAlignment="1" applyProtection="1"/>
    <xf numFmtId="0" fontId="59" fillId="0" borderId="0" xfId="0" applyFont="1"/>
    <xf numFmtId="0" fontId="61" fillId="0" borderId="0" xfId="0" applyFont="1"/>
    <xf numFmtId="0" fontId="57" fillId="0" borderId="0" xfId="0" applyFont="1" applyAlignment="1">
      <alignment horizontal="left"/>
    </xf>
    <xf numFmtId="0" fontId="66" fillId="0" borderId="0" xfId="0" applyFont="1"/>
    <xf numFmtId="0" fontId="65" fillId="0" borderId="0" xfId="0" applyFont="1"/>
    <xf numFmtId="0" fontId="63" fillId="0" borderId="0" xfId="0" applyFont="1"/>
    <xf numFmtId="0" fontId="0" fillId="0" borderId="0" xfId="0" quotePrefix="1"/>
    <xf numFmtId="0" fontId="22" fillId="0" borderId="0" xfId="1" applyAlignment="1" applyProtection="1">
      <alignment horizontal="left"/>
    </xf>
    <xf numFmtId="0" fontId="70" fillId="0" borderId="0" xfId="0" applyFont="1"/>
    <xf numFmtId="0" fontId="68" fillId="0" borderId="0" xfId="1" applyFont="1" applyAlignment="1" applyProtection="1"/>
    <xf numFmtId="0" fontId="69" fillId="0" borderId="0" xfId="0" applyFont="1"/>
    <xf numFmtId="0" fontId="67" fillId="0" borderId="0" xfId="0" applyFont="1"/>
    <xf numFmtId="0" fontId="72" fillId="0" borderId="0" xfId="0" applyFont="1"/>
    <xf numFmtId="0" fontId="39" fillId="0" borderId="0" xfId="0" applyFont="1" applyAlignment="1">
      <alignment vertical="center" wrapText="1"/>
    </xf>
    <xf numFmtId="16" fontId="0" fillId="21" borderId="0" xfId="0" applyNumberFormat="1" applyFill="1" applyAlignment="1">
      <alignment horizontal="right"/>
    </xf>
    <xf numFmtId="15" fontId="25" fillId="0" borderId="0" xfId="0" applyNumberFormat="1" applyFont="1" applyAlignment="1">
      <alignment horizontal="right"/>
    </xf>
    <xf numFmtId="0" fontId="22" fillId="0" borderId="0" xfId="1" applyAlignment="1" applyProtection="1">
      <alignment vertical="center"/>
    </xf>
    <xf numFmtId="0" fontId="0" fillId="21" borderId="0" xfId="0" applyFill="1"/>
    <xf numFmtId="0" fontId="71" fillId="0" borderId="0" xfId="0" applyFont="1"/>
    <xf numFmtId="0" fontId="5" fillId="14" borderId="0" xfId="0" applyFont="1" applyFill="1" applyAlignment="1">
      <alignment horizontal="left"/>
    </xf>
    <xf numFmtId="0" fontId="5" fillId="13" borderId="0" xfId="0" applyFont="1" applyFill="1"/>
    <xf numFmtId="0" fontId="22" fillId="13" borderId="0" xfId="1" applyFill="1" applyAlignment="1" applyProtection="1"/>
    <xf numFmtId="0" fontId="23" fillId="13" borderId="0" xfId="0" applyFont="1" applyFill="1"/>
    <xf numFmtId="0" fontId="27" fillId="0" borderId="0" xfId="0" applyFont="1"/>
    <xf numFmtId="0" fontId="23" fillId="10" borderId="0" xfId="0" applyFont="1" applyFill="1"/>
    <xf numFmtId="0" fontId="5" fillId="10" borderId="0" xfId="0" applyFont="1" applyFill="1" applyAlignment="1">
      <alignment horizontal="left"/>
    </xf>
    <xf numFmtId="0" fontId="62" fillId="11" borderId="0" xfId="0" applyFont="1" applyFill="1"/>
    <xf numFmtId="0" fontId="0" fillId="0" borderId="0" xfId="0" applyFill="1"/>
    <xf numFmtId="0" fontId="22" fillId="0" borderId="0" xfId="1" applyFill="1" applyAlignment="1" applyProtection="1"/>
    <xf numFmtId="0" fontId="23" fillId="0" borderId="0" xfId="0" applyFont="1" applyFill="1"/>
    <xf numFmtId="0" fontId="73" fillId="0" borderId="0" xfId="0" applyFont="1" applyFill="1"/>
    <xf numFmtId="0" fontId="25" fillId="0" borderId="0" xfId="0" applyFont="1" applyFill="1"/>
    <xf numFmtId="0" fontId="5" fillId="0" borderId="0" xfId="0" applyFont="1" applyFill="1"/>
    <xf numFmtId="49" fontId="22" fillId="0" borderId="0" xfId="1" quotePrefix="1" applyNumberFormat="1" applyFill="1" applyAlignment="1" applyProtection="1"/>
    <xf numFmtId="0" fontId="22" fillId="0" borderId="0" xfId="1" applyAlignment="1" applyProtection="1">
      <alignment vertical="center" wrapText="1"/>
    </xf>
    <xf numFmtId="4" fontId="39" fillId="10" borderId="0" xfId="0" applyNumberFormat="1" applyFont="1" applyFill="1" applyAlignment="1">
      <alignment vertical="center" wrapText="1"/>
    </xf>
    <xf numFmtId="0" fontId="62" fillId="21" borderId="1" xfId="0" applyFont="1" applyFill="1" applyBorder="1" applyAlignment="1">
      <alignment horizontal="left" vertical="center" wrapText="1"/>
    </xf>
    <xf numFmtId="3" fontId="0" fillId="10" borderId="0" xfId="0" applyNumberFormat="1" applyFill="1" applyAlignment="1">
      <alignment horizontal="right"/>
    </xf>
    <xf numFmtId="0" fontId="76" fillId="0" borderId="0" xfId="0" applyFont="1"/>
    <xf numFmtId="0" fontId="30" fillId="0" borderId="0" xfId="0" applyFont="1"/>
    <xf numFmtId="0" fontId="77" fillId="0" borderId="0" xfId="1" applyFont="1" applyAlignment="1" applyProtection="1"/>
    <xf numFmtId="0" fontId="23" fillId="14" borderId="0" xfId="0" applyFont="1" applyFill="1"/>
    <xf numFmtId="16" fontId="23" fillId="10" borderId="0" xfId="0" applyNumberFormat="1" applyFont="1" applyFill="1" applyAlignment="1">
      <alignment horizontal="right"/>
    </xf>
    <xf numFmtId="1" fontId="26" fillId="0" borderId="0" xfId="0" applyNumberFormat="1" applyFont="1" applyAlignment="1">
      <alignment horizontal="right"/>
    </xf>
    <xf numFmtId="16" fontId="0" fillId="14" borderId="0" xfId="0" applyNumberFormat="1" applyFill="1" applyAlignment="1">
      <alignment horizontal="right"/>
    </xf>
    <xf numFmtId="1" fontId="26" fillId="14" borderId="0" xfId="0" applyNumberFormat="1" applyFont="1" applyFill="1" applyAlignment="1">
      <alignment horizontal="right"/>
    </xf>
    <xf numFmtId="0" fontId="22" fillId="13" borderId="0" xfId="1" applyFill="1" applyAlignment="1" applyProtection="1">
      <alignment vertical="center"/>
    </xf>
    <xf numFmtId="0" fontId="23" fillId="0" borderId="0" xfId="0" applyFont="1" applyFill="1" applyAlignment="1">
      <alignment horizontal="left" vertical="top"/>
    </xf>
    <xf numFmtId="0" fontId="74" fillId="0" borderId="0" xfId="0" applyFont="1" applyFill="1"/>
    <xf numFmtId="1" fontId="26" fillId="0" borderId="0" xfId="0" applyNumberFormat="1" applyFont="1" applyAlignment="1">
      <alignment horizontal="left"/>
    </xf>
    <xf numFmtId="1" fontId="25" fillId="0" borderId="0" xfId="0" applyNumberFormat="1" applyFont="1" applyAlignment="1"/>
    <xf numFmtId="0" fontId="34" fillId="0" borderId="0" xfId="0" applyFont="1"/>
    <xf numFmtId="2" fontId="34" fillId="0" borderId="0" xfId="0" applyNumberFormat="1" applyFont="1"/>
    <xf numFmtId="0" fontId="1" fillId="22" borderId="0" xfId="0" applyFont="1" applyFill="1" applyAlignment="1">
      <alignment horizontal="right"/>
    </xf>
    <xf numFmtId="16" fontId="25" fillId="21" borderId="0" xfId="0" applyNumberFormat="1" applyFont="1" applyFill="1" applyAlignment="1">
      <alignment horizontal="right"/>
    </xf>
    <xf numFmtId="1" fontId="0" fillId="0" borderId="0" xfId="0" applyNumberFormat="1" applyAlignment="1">
      <alignment horizontal="left"/>
    </xf>
    <xf numFmtId="0" fontId="78" fillId="0" borderId="0" xfId="0" applyFont="1" applyFill="1"/>
    <xf numFmtId="0" fontId="5" fillId="0" borderId="0" xfId="0" applyFont="1" applyFill="1" applyAlignment="1">
      <alignment horizontal="left"/>
    </xf>
    <xf numFmtId="16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/>
    </xf>
    <xf numFmtId="0" fontId="26" fillId="0" borderId="0" xfId="0" applyFont="1" applyAlignment="1">
      <alignment vertical="center"/>
    </xf>
    <xf numFmtId="0" fontId="5" fillId="0" borderId="0" xfId="1" applyFont="1" applyFill="1" applyAlignment="1" applyProtection="1"/>
    <xf numFmtId="0" fontId="4" fillId="5" borderId="0" xfId="0" applyFont="1" applyFill="1" applyAlignment="1">
      <alignment horizontal="left"/>
    </xf>
    <xf numFmtId="0" fontId="27" fillId="5" borderId="0" xfId="0" applyFont="1" applyFill="1" applyAlignment="1">
      <alignment horizontal="left"/>
    </xf>
    <xf numFmtId="0" fontId="38" fillId="5" borderId="0" xfId="0" applyFont="1" applyFill="1" applyAlignment="1">
      <alignment horizontal="left"/>
    </xf>
    <xf numFmtId="0" fontId="38" fillId="5" borderId="0" xfId="0" applyFont="1" applyFill="1" applyAlignment="1">
      <alignment horizontal="right"/>
    </xf>
    <xf numFmtId="0" fontId="26" fillId="0" borderId="0" xfId="0" applyFont="1" applyFill="1"/>
    <xf numFmtId="0" fontId="26" fillId="16" borderId="0" xfId="0" applyFont="1" applyFill="1" applyAlignment="1">
      <alignment horizontal="left"/>
    </xf>
    <xf numFmtId="16" fontId="23" fillId="0" borderId="0" xfId="0" applyNumberFormat="1" applyFont="1" applyFill="1" applyAlignment="1">
      <alignment horizontal="right"/>
    </xf>
    <xf numFmtId="1" fontId="26" fillId="0" borderId="0" xfId="0" applyNumberFormat="1" applyFont="1" applyFill="1" applyAlignment="1">
      <alignment horizontal="right"/>
    </xf>
    <xf numFmtId="0" fontId="73" fillId="15" borderId="0" xfId="0" applyFont="1" applyFill="1"/>
    <xf numFmtId="0" fontId="26" fillId="8" borderId="0" xfId="0" applyFont="1" applyFill="1" applyAlignment="1">
      <alignment horizontal="left"/>
    </xf>
    <xf numFmtId="16" fontId="26" fillId="14" borderId="0" xfId="0" applyNumberFormat="1" applyFont="1" applyFill="1" applyAlignment="1">
      <alignment horizontal="right"/>
    </xf>
    <xf numFmtId="1" fontId="0" fillId="14" borderId="0" xfId="0" applyNumberFormat="1" applyFill="1" applyAlignment="1">
      <alignment horizontal="right"/>
    </xf>
    <xf numFmtId="16" fontId="25" fillId="0" borderId="0" xfId="0" applyNumberFormat="1" applyFont="1" applyAlignment="1">
      <alignment horizontal="left"/>
    </xf>
    <xf numFmtId="2" fontId="26" fillId="0" borderId="0" xfId="0" applyNumberFormat="1" applyFont="1"/>
    <xf numFmtId="14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68" fillId="0" borderId="0" xfId="1" applyFont="1" applyFill="1" applyAlignment="1" applyProtection="1"/>
    <xf numFmtId="0" fontId="77" fillId="0" borderId="0" xfId="1" applyFont="1" applyFill="1" applyAlignment="1" applyProtection="1"/>
    <xf numFmtId="0" fontId="26" fillId="0" borderId="0" xfId="0" applyFont="1" applyFill="1" applyAlignment="1">
      <alignment horizontal="left"/>
    </xf>
    <xf numFmtId="0" fontId="81" fillId="0" borderId="0" xfId="0" applyFont="1" applyFill="1"/>
    <xf numFmtId="0" fontId="0" fillId="0" borderId="0" xfId="0" quotePrefix="1" applyFill="1"/>
    <xf numFmtId="0" fontId="1" fillId="0" borderId="0" xfId="0" applyFont="1" applyFill="1"/>
    <xf numFmtId="0" fontId="80" fillId="0" borderId="0" xfId="0" applyFont="1" applyFill="1"/>
    <xf numFmtId="0" fontId="69" fillId="0" borderId="0" xfId="0" applyFont="1" applyFill="1"/>
    <xf numFmtId="0" fontId="22" fillId="0" borderId="0" xfId="1" applyFill="1" applyAlignment="1" applyProtection="1">
      <alignment vertical="center"/>
    </xf>
    <xf numFmtId="0" fontId="23" fillId="0" borderId="0" xfId="0" applyFont="1" applyFill="1" applyAlignment="1">
      <alignment horizontal="left"/>
    </xf>
    <xf numFmtId="16" fontId="26" fillId="0" borderId="0" xfId="0" applyNumberFormat="1" applyFont="1" applyFill="1" applyAlignment="1">
      <alignment horizontal="left"/>
    </xf>
    <xf numFmtId="16" fontId="26" fillId="9" borderId="0" xfId="0" applyNumberFormat="1" applyFont="1" applyFill="1" applyAlignment="1">
      <alignment horizontal="left"/>
    </xf>
    <xf numFmtId="1" fontId="26" fillId="9" borderId="0" xfId="0" applyNumberFormat="1" applyFont="1" applyFill="1" applyAlignment="1">
      <alignment horizontal="right"/>
    </xf>
    <xf numFmtId="0" fontId="83" fillId="0" borderId="0" xfId="0" applyFont="1" applyFill="1"/>
    <xf numFmtId="1" fontId="0" fillId="8" borderId="0" xfId="0" applyNumberFormat="1" applyFill="1" applyAlignment="1">
      <alignment horizontal="right"/>
    </xf>
    <xf numFmtId="1" fontId="0" fillId="0" borderId="0" xfId="0" applyNumberFormat="1" applyFill="1" applyAlignment="1">
      <alignment horizontal="right"/>
    </xf>
    <xf numFmtId="16" fontId="25" fillId="0" borderId="0" xfId="0" applyNumberFormat="1" applyFont="1" applyFill="1" applyAlignment="1">
      <alignment horizontal="left"/>
    </xf>
    <xf numFmtId="16" fontId="25" fillId="0" borderId="0" xfId="0" applyNumberFormat="1" applyFont="1" applyFill="1" applyAlignment="1"/>
    <xf numFmtId="0" fontId="57" fillId="0" borderId="0" xfId="0" applyFont="1" applyFill="1"/>
    <xf numFmtId="0" fontId="82" fillId="0" borderId="0" xfId="0" applyFont="1" applyFill="1"/>
    <xf numFmtId="0" fontId="72" fillId="0" borderId="0" xfId="0" applyFont="1" applyFill="1"/>
    <xf numFmtId="0" fontId="84" fillId="8" borderId="0" xfId="0" applyFont="1" applyFill="1"/>
    <xf numFmtId="0" fontId="85" fillId="0" borderId="0" xfId="0" applyFont="1" applyFill="1"/>
    <xf numFmtId="0" fontId="86" fillId="0" borderId="0" xfId="0" applyFont="1" applyFill="1"/>
    <xf numFmtId="0" fontId="86" fillId="0" borderId="0" xfId="0" quotePrefix="1" applyFont="1" applyFill="1"/>
    <xf numFmtId="8" fontId="0" fillId="0" borderId="0" xfId="0" applyNumberFormat="1"/>
    <xf numFmtId="16" fontId="0" fillId="0" borderId="0" xfId="0" applyNumberFormat="1" applyFill="1" applyAlignment="1">
      <alignment horizontal="left"/>
    </xf>
    <xf numFmtId="16" fontId="26" fillId="8" borderId="0" xfId="0" applyNumberFormat="1" applyFont="1" applyFill="1" applyAlignment="1">
      <alignment horizontal="left"/>
    </xf>
    <xf numFmtId="49" fontId="68" fillId="0" borderId="0" xfId="1" quotePrefix="1" applyNumberFormat="1" applyFont="1" applyFill="1" applyAlignment="1" applyProtection="1"/>
    <xf numFmtId="8" fontId="0" fillId="10" borderId="0" xfId="0" applyNumberFormat="1" applyFill="1" applyAlignment="1">
      <alignment horizontal="right"/>
    </xf>
    <xf numFmtId="16" fontId="0" fillId="0" borderId="0" xfId="0" applyNumberFormat="1" applyAlignment="1">
      <alignment horizontal="left"/>
    </xf>
    <xf numFmtId="0" fontId="38" fillId="0" borderId="0" xfId="0" applyFont="1" applyFill="1" applyAlignment="1">
      <alignment horizontal="left"/>
    </xf>
    <xf numFmtId="16" fontId="0" fillId="8" borderId="0" xfId="0" applyNumberFormat="1" applyFill="1" applyAlignment="1">
      <alignment horizontal="left"/>
    </xf>
    <xf numFmtId="0" fontId="80" fillId="8" borderId="0" xfId="0" applyFont="1" applyFill="1"/>
    <xf numFmtId="0" fontId="69" fillId="8" borderId="0" xfId="0" applyFont="1" applyFill="1"/>
    <xf numFmtId="0" fontId="87" fillId="0" borderId="0" xfId="1" quotePrefix="1" applyFont="1" applyFill="1" applyAlignment="1" applyProtection="1">
      <alignment vertical="center"/>
    </xf>
    <xf numFmtId="0" fontId="38" fillId="0" borderId="0" xfId="0" applyFont="1" applyFill="1"/>
    <xf numFmtId="0" fontId="88" fillId="10" borderId="0" xfId="0" applyFont="1" applyFill="1" applyAlignment="1">
      <alignment horizontal="right"/>
    </xf>
    <xf numFmtId="0" fontId="5" fillId="13" borderId="0" xfId="0" applyFont="1" applyFill="1" applyAlignment="1">
      <alignment horizontal="left"/>
    </xf>
    <xf numFmtId="0" fontId="1" fillId="13" borderId="0" xfId="0" applyFont="1" applyFill="1"/>
    <xf numFmtId="0" fontId="0" fillId="0" borderId="0" xfId="0" applyFill="1" applyAlignment="1">
      <alignment vertical="center"/>
    </xf>
    <xf numFmtId="0" fontId="23" fillId="16" borderId="0" xfId="0" applyFont="1" applyFill="1"/>
    <xf numFmtId="0" fontId="22" fillId="16" borderId="0" xfId="1" applyFill="1" applyAlignment="1" applyProtection="1"/>
    <xf numFmtId="0" fontId="26" fillId="16" borderId="0" xfId="0" applyFont="1" applyFill="1"/>
    <xf numFmtId="16" fontId="23" fillId="0" borderId="0" xfId="0" applyNumberFormat="1" applyFont="1" applyFill="1" applyAlignment="1">
      <alignment horizontal="left"/>
    </xf>
    <xf numFmtId="0" fontId="73" fillId="16" borderId="0" xfId="0" applyFont="1" applyFill="1"/>
    <xf numFmtId="0" fontId="0" fillId="16" borderId="0" xfId="0" quotePrefix="1" applyFill="1"/>
    <xf numFmtId="0" fontId="77" fillId="21" borderId="0" xfId="1" applyFont="1" applyFill="1" applyAlignment="1" applyProtection="1"/>
    <xf numFmtId="4" fontId="0" fillId="10" borderId="0" xfId="0" applyNumberFormat="1" applyFill="1"/>
    <xf numFmtId="0" fontId="81" fillId="14" borderId="0" xfId="0" applyFont="1" applyFill="1"/>
    <xf numFmtId="16" fontId="32" fillId="21" borderId="0" xfId="0" applyNumberFormat="1" applyFont="1" applyFill="1" applyAlignment="1">
      <alignment horizontal="right"/>
    </xf>
    <xf numFmtId="16" fontId="26" fillId="0" borderId="0" xfId="0" applyNumberFormat="1" applyFont="1" applyFill="1" applyAlignment="1"/>
    <xf numFmtId="4" fontId="25" fillId="8" borderId="0" xfId="0" quotePrefix="1" applyNumberFormat="1" applyFont="1" applyFill="1" applyAlignment="1">
      <alignment horizontal="left"/>
    </xf>
    <xf numFmtId="16" fontId="26" fillId="0" borderId="0" xfId="0" quotePrefix="1" applyNumberFormat="1" applyFont="1" applyAlignment="1">
      <alignment horizontal="left"/>
    </xf>
    <xf numFmtId="16" fontId="32" fillId="0" borderId="0" xfId="0" applyNumberFormat="1" applyFont="1" applyFill="1" applyAlignment="1">
      <alignment horizontal="right"/>
    </xf>
    <xf numFmtId="16" fontId="26" fillId="21" borderId="0" xfId="0" applyNumberFormat="1" applyFont="1" applyFill="1" applyAlignment="1">
      <alignment horizontal="right"/>
    </xf>
    <xf numFmtId="49" fontId="89" fillId="15" borderId="0" xfId="1" quotePrefix="1" applyNumberFormat="1" applyFont="1" applyFill="1" applyAlignment="1" applyProtection="1">
      <alignment vertical="center"/>
    </xf>
    <xf numFmtId="0" fontId="0" fillId="15" borderId="0" xfId="0" applyFill="1" applyAlignment="1">
      <alignment vertical="center"/>
    </xf>
    <xf numFmtId="0" fontId="23" fillId="15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39E7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enlo5725@gmail.com" TargetMode="External"/><Relationship Id="rId18" Type="http://schemas.openxmlformats.org/officeDocument/2006/relationships/hyperlink" Target="mailto:kristin.kemezys@gmail.com%20%20603%20718%201232" TargetMode="External"/><Relationship Id="rId26" Type="http://schemas.openxmlformats.org/officeDocument/2006/relationships/hyperlink" Target="mailto:cortney.clements@gmail.com" TargetMode="External"/><Relationship Id="rId39" Type="http://schemas.openxmlformats.org/officeDocument/2006/relationships/hyperlink" Target="mailto:samandme@icloud.com" TargetMode="External"/><Relationship Id="rId21" Type="http://schemas.openxmlformats.org/officeDocument/2006/relationships/hyperlink" Target="mailto:mffoley1@comcast.net" TargetMode="External"/><Relationship Id="rId34" Type="http://schemas.openxmlformats.org/officeDocument/2006/relationships/hyperlink" Target="mailto:sapaniccia@yahoo.com%20%20%201%20(248)%20821-7253" TargetMode="External"/><Relationship Id="rId42" Type="http://schemas.openxmlformats.org/officeDocument/2006/relationships/hyperlink" Target="mailto:jstone154@sbcglobal.net" TargetMode="External"/><Relationship Id="rId47" Type="http://schemas.openxmlformats.org/officeDocument/2006/relationships/hyperlink" Target="mailto:bnkrtz@yahoo.com" TargetMode="External"/><Relationship Id="rId50" Type="http://schemas.openxmlformats.org/officeDocument/2006/relationships/hyperlink" Target="mailto:sled-me@midcoast.com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drummerdoug2112@gmail.com" TargetMode="External"/><Relationship Id="rId12" Type="http://schemas.openxmlformats.org/officeDocument/2006/relationships/hyperlink" Target="mailto:ncrocki@woh.rr.com%20(937)%20271-0891" TargetMode="External"/><Relationship Id="rId17" Type="http://schemas.openxmlformats.org/officeDocument/2006/relationships/hyperlink" Target="mailto:crobo21@gmail.com%20%20516)%20581-1202" TargetMode="External"/><Relationship Id="rId25" Type="http://schemas.openxmlformats.org/officeDocument/2006/relationships/hyperlink" Target="https://www.homeaway.com/traveler/profiles/b3ca31b9-7cef-4833-b432-36e66c19edae" TargetMode="External"/><Relationship Id="rId33" Type="http://schemas.openxmlformats.org/officeDocument/2006/relationships/hyperlink" Target="mailto:lara.k.ellinger@gmail.com%20%20%20+13126186340" TargetMode="External"/><Relationship Id="rId38" Type="http://schemas.openxmlformats.org/officeDocument/2006/relationships/hyperlink" Target="mailto:laurieher@gmail.com" TargetMode="External"/><Relationship Id="rId46" Type="http://schemas.openxmlformats.org/officeDocument/2006/relationships/hyperlink" Target="mailto:jcough20@ford.com" TargetMode="External"/><Relationship Id="rId2" Type="http://schemas.openxmlformats.org/officeDocument/2006/relationships/hyperlink" Target="mailto:vito.lenoci@lenocifragrancegroup.com" TargetMode="External"/><Relationship Id="rId16" Type="http://schemas.openxmlformats.org/officeDocument/2006/relationships/hyperlink" Target="mailto:sarah.just@yahoo.com" TargetMode="External"/><Relationship Id="rId20" Type="http://schemas.openxmlformats.org/officeDocument/2006/relationships/hyperlink" Target="mailto:1983swallace@gmail.com" TargetMode="External"/><Relationship Id="rId29" Type="http://schemas.openxmlformats.org/officeDocument/2006/relationships/hyperlink" Target="mailto:jstone154@sbcglobal.net" TargetMode="External"/><Relationship Id="rId41" Type="http://schemas.openxmlformats.org/officeDocument/2006/relationships/hyperlink" Target="mailto:dwolson19@gmail.com" TargetMode="External"/><Relationship Id="rId54" Type="http://schemas.openxmlformats.org/officeDocument/2006/relationships/hyperlink" Target="mailto:tduffy10@googlemail.com" TargetMode="External"/><Relationship Id="rId1" Type="http://schemas.openxmlformats.org/officeDocument/2006/relationships/hyperlink" Target="tel:%28260%29%20515-5934" TargetMode="External"/><Relationship Id="rId6" Type="http://schemas.openxmlformats.org/officeDocument/2006/relationships/hyperlink" Target="mailto:leejoyce4444@comcast.net" TargetMode="External"/><Relationship Id="rId11" Type="http://schemas.openxmlformats.org/officeDocument/2006/relationships/hyperlink" Target="https://www.homeaway.com/traveler/profiles/a2a79964-6580-4dd7-b737-e5244aa5596f" TargetMode="External"/><Relationship Id="rId24" Type="http://schemas.openxmlformats.org/officeDocument/2006/relationships/hyperlink" Target="mailto:tduffy10@googlemail.com%20%2044%207767023961" TargetMode="External"/><Relationship Id="rId32" Type="http://schemas.openxmlformats.org/officeDocument/2006/relationships/hyperlink" Target="mailto:Snhvac25@yahoo.com" TargetMode="External"/><Relationship Id="rId37" Type="http://schemas.openxmlformats.org/officeDocument/2006/relationships/hyperlink" Target="mailto:blonde205@hotmail.com" TargetMode="External"/><Relationship Id="rId40" Type="http://schemas.openxmlformats.org/officeDocument/2006/relationships/hyperlink" Target="mailto:dmacf4@yahoo.com" TargetMode="External"/><Relationship Id="rId45" Type="http://schemas.openxmlformats.org/officeDocument/2006/relationships/hyperlink" Target="mailto:leejoyce4444@comcast.net" TargetMode="External"/><Relationship Id="rId53" Type="http://schemas.openxmlformats.org/officeDocument/2006/relationships/hyperlink" Target="mailto:leejoyce4444@comcast.net" TargetMode="External"/><Relationship Id="rId5" Type="http://schemas.openxmlformats.org/officeDocument/2006/relationships/hyperlink" Target="mailto:ntr0228@gmail.com" TargetMode="External"/><Relationship Id="rId15" Type="http://schemas.openxmlformats.org/officeDocument/2006/relationships/hyperlink" Target="mailto:mhtheo@gmail.com" TargetMode="External"/><Relationship Id="rId23" Type="http://schemas.openxmlformats.org/officeDocument/2006/relationships/hyperlink" Target="mailto:djebaugh79@gmail.com%20%20(330)%20241-9863" TargetMode="External"/><Relationship Id="rId28" Type="http://schemas.openxmlformats.org/officeDocument/2006/relationships/hyperlink" Target="mailto:christophedetremerie@gmail.com%20%20Belgium%20%2032%20479%2056%2058%2068" TargetMode="External"/><Relationship Id="rId36" Type="http://schemas.openxmlformats.org/officeDocument/2006/relationships/hyperlink" Target="mailto:jsb76210@gmail.com%201%20817-235-6636" TargetMode="External"/><Relationship Id="rId49" Type="http://schemas.openxmlformats.org/officeDocument/2006/relationships/hyperlink" Target="mailto:clairequinn79@gmail.com" TargetMode="External"/><Relationship Id="rId10" Type="http://schemas.openxmlformats.org/officeDocument/2006/relationships/hyperlink" Target="mailto:john2924@sbcglobal.net%20(203)%20537-2412" TargetMode="External"/><Relationship Id="rId19" Type="http://schemas.openxmlformats.org/officeDocument/2006/relationships/hyperlink" Target="mailto:eddiemfsk@hotmail.com" TargetMode="External"/><Relationship Id="rId31" Type="http://schemas.openxmlformats.org/officeDocument/2006/relationships/hyperlink" Target="mailto:geniectown@gmail.com" TargetMode="External"/><Relationship Id="rId44" Type="http://schemas.openxmlformats.org/officeDocument/2006/relationships/hyperlink" Target="mailto:tduffy10@googlemail.com%20%2044%207767023961" TargetMode="External"/><Relationship Id="rId52" Type="http://schemas.openxmlformats.org/officeDocument/2006/relationships/hyperlink" Target="mailto:6bondocs@gmail.com%2016083546219" TargetMode="External"/><Relationship Id="rId4" Type="http://schemas.openxmlformats.org/officeDocument/2006/relationships/hyperlink" Target="mailto:Francesajones@onetel.com%20%2044%207979%20706450" TargetMode="External"/><Relationship Id="rId9" Type="http://schemas.openxmlformats.org/officeDocument/2006/relationships/hyperlink" Target="mailto:chrisjjacks@gmail.com" TargetMode="External"/><Relationship Id="rId14" Type="http://schemas.openxmlformats.org/officeDocument/2006/relationships/hyperlink" Target="mailto:bcalsphone@gmail.com" TargetMode="External"/><Relationship Id="rId22" Type="http://schemas.openxmlformats.org/officeDocument/2006/relationships/hyperlink" Target="mailto:jerry@gtweb.net" TargetMode="External"/><Relationship Id="rId27" Type="http://schemas.openxmlformats.org/officeDocument/2006/relationships/hyperlink" Target="mailto:A/D/F1/F@" TargetMode="External"/><Relationship Id="rId30" Type="http://schemas.openxmlformats.org/officeDocument/2006/relationships/hyperlink" Target="mailto:KiJackson@sbcglobal.net" TargetMode="External"/><Relationship Id="rId35" Type="http://schemas.openxmlformats.org/officeDocument/2006/relationships/hyperlink" Target="mailto:sarnold5656@yahoo.com-419)%20320-3178" TargetMode="External"/><Relationship Id="rId43" Type="http://schemas.openxmlformats.org/officeDocument/2006/relationships/hyperlink" Target="mailto:juliarueschemeyer@msn.com" TargetMode="External"/><Relationship Id="rId48" Type="http://schemas.openxmlformats.org/officeDocument/2006/relationships/hyperlink" Target="mailto:tfelch@gmail.com%20%20423-621-9249" TargetMode="External"/><Relationship Id="rId8" Type="http://schemas.openxmlformats.org/officeDocument/2006/relationships/hyperlink" Target="mailto:johnkokai@yahoo.com" TargetMode="External"/><Relationship Id="rId51" Type="http://schemas.openxmlformats.org/officeDocument/2006/relationships/hyperlink" Target="mailto:leejoyce4444@comcast.net" TargetMode="External"/><Relationship Id="rId3" Type="http://schemas.openxmlformats.org/officeDocument/2006/relationships/hyperlink" Target="mailto:paul-durkin@tiscali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72"/>
  <sheetViews>
    <sheetView tabSelected="1" zoomScale="81" zoomScaleNormal="81" workbookViewId="0">
      <pane ySplit="15" topLeftCell="A546" activePane="bottomLeft" state="frozen"/>
      <selection pane="bottomLeft" activeCell="B561" sqref="B561"/>
    </sheetView>
  </sheetViews>
  <sheetFormatPr defaultRowHeight="15" x14ac:dyDescent="0.25"/>
  <cols>
    <col min="1" max="1" width="6.42578125" customWidth="1"/>
    <col min="2" max="2" width="34.28515625" customWidth="1"/>
    <col min="3" max="3" width="30.140625" customWidth="1"/>
    <col min="4" max="4" width="3.85546875" customWidth="1"/>
    <col min="5" max="5" width="6.85546875" customWidth="1"/>
    <col min="6" max="7" width="6.85546875" hidden="1" customWidth="1"/>
    <col min="8" max="8" width="26.140625" customWidth="1"/>
    <col min="9" max="9" width="7.85546875" customWidth="1"/>
    <col min="10" max="10" width="1.85546875" customWidth="1"/>
    <col min="11" max="11" width="29.85546875" customWidth="1"/>
    <col min="12" max="12" width="6.140625" customWidth="1"/>
    <col min="13" max="13" width="16" style="5" customWidth="1"/>
    <col min="14" max="14" width="9.140625" customWidth="1"/>
    <col min="16" max="16" width="12.5703125" customWidth="1"/>
    <col min="17" max="17" width="10.42578125" customWidth="1"/>
    <col min="18" max="18" width="11.85546875" customWidth="1"/>
    <col min="19" max="19" width="11.5703125" customWidth="1"/>
    <col min="20" max="20" width="8.85546875" style="65" customWidth="1"/>
    <col min="21" max="21" width="13.85546875" customWidth="1"/>
    <col min="22" max="22" width="14.140625" customWidth="1"/>
    <col min="23" max="23" width="11.5703125" customWidth="1"/>
    <col min="24" max="24" width="24.5703125" customWidth="1"/>
    <col min="25" max="25" width="13.140625" customWidth="1"/>
    <col min="26" max="27" width="13.140625" hidden="1" customWidth="1"/>
    <col min="28" max="28" width="11.140625" customWidth="1"/>
    <col min="29" max="29" width="11.140625" hidden="1" customWidth="1"/>
    <col min="30" max="30" width="13.7109375" customWidth="1"/>
    <col min="31" max="31" width="0.140625" customWidth="1"/>
    <col min="32" max="33" width="11.42578125" customWidth="1"/>
    <col min="34" max="34" width="13" bestFit="1" customWidth="1"/>
    <col min="35" max="35" width="9.140625" customWidth="1"/>
    <col min="42" max="42" width="11.7109375" customWidth="1"/>
  </cols>
  <sheetData>
    <row r="1" spans="1:44" x14ac:dyDescent="0.25">
      <c r="H1" s="1" t="s">
        <v>218</v>
      </c>
      <c r="N1" s="2">
        <v>0.11</v>
      </c>
      <c r="O1" t="s">
        <v>12</v>
      </c>
      <c r="R1" s="7" t="s">
        <v>150</v>
      </c>
      <c r="V1" s="96">
        <v>2015</v>
      </c>
      <c r="W1" s="96">
        <v>2016</v>
      </c>
      <c r="AA1" t="s">
        <v>56</v>
      </c>
      <c r="AD1" t="s">
        <v>202</v>
      </c>
      <c r="AE1" s="3" t="s">
        <v>15</v>
      </c>
    </row>
    <row r="2" spans="1:44" x14ac:dyDescent="0.25">
      <c r="B2" s="93" t="s">
        <v>339</v>
      </c>
      <c r="C2" s="17"/>
      <c r="D2" s="17"/>
      <c r="H2" s="1" t="s">
        <v>220</v>
      </c>
      <c r="N2" s="166">
        <v>16</v>
      </c>
      <c r="O2">
        <v>6</v>
      </c>
      <c r="R2" s="7" t="s">
        <v>149</v>
      </c>
      <c r="V2">
        <f>(N9+R9)/7</f>
        <v>655.45142857142855</v>
      </c>
      <c r="W2">
        <f>V2*1.04</f>
        <v>681.66948571428577</v>
      </c>
      <c r="X2">
        <f>2068-500</f>
        <v>1568</v>
      </c>
      <c r="AC2">
        <v>7</v>
      </c>
      <c r="AD2">
        <v>1498</v>
      </c>
      <c r="AE2" s="3" t="s">
        <v>179</v>
      </c>
    </row>
    <row r="3" spans="1:44" x14ac:dyDescent="0.25">
      <c r="B3" s="94" t="s">
        <v>340</v>
      </c>
      <c r="H3">
        <v>1120</v>
      </c>
      <c r="I3" s="48"/>
      <c r="J3" s="48"/>
      <c r="K3">
        <f>2565</f>
        <v>2565</v>
      </c>
      <c r="M3" s="5">
        <v>5</v>
      </c>
      <c r="N3" s="92">
        <v>6</v>
      </c>
      <c r="O3" t="s">
        <v>5</v>
      </c>
      <c r="Q3">
        <f>IF(N3&gt;3,20*1,0)</f>
        <v>20</v>
      </c>
      <c r="R3">
        <v>0</v>
      </c>
      <c r="V3">
        <f>(N10+R10)/7</f>
        <v>551.78971428571424</v>
      </c>
      <c r="W3">
        <f>V3*1.04</f>
        <v>573.86130285714285</v>
      </c>
      <c r="AC3">
        <v>14</v>
      </c>
      <c r="AD3">
        <f>AC3*AD2/AC2</f>
        <v>2996</v>
      </c>
      <c r="AE3" s="3" t="s">
        <v>223</v>
      </c>
    </row>
    <row r="4" spans="1:44" x14ac:dyDescent="0.25">
      <c r="B4" s="95" t="s">
        <v>341</v>
      </c>
      <c r="H4">
        <v>1220</v>
      </c>
      <c r="I4" s="48"/>
      <c r="J4" s="48"/>
      <c r="K4">
        <f>M4*K3/M3</f>
        <v>7182</v>
      </c>
      <c r="M4" s="5">
        <v>14</v>
      </c>
      <c r="N4">
        <v>0</v>
      </c>
      <c r="O4" t="s">
        <v>7</v>
      </c>
      <c r="P4">
        <f>IF(N2=7,1,1-(0.3*((N2/7)-1)))</f>
        <v>0.61428571428571432</v>
      </c>
      <c r="Q4">
        <f>IF(P4&gt;=0.5,P4,0.5)</f>
        <v>0.61428571428571432</v>
      </c>
      <c r="V4">
        <f>(N11+R11)/7</f>
        <v>785.02857142857135</v>
      </c>
      <c r="W4">
        <f>V4*1.04</f>
        <v>816.42971428571423</v>
      </c>
      <c r="X4">
        <f>20*5*1.13</f>
        <v>112.99999999999999</v>
      </c>
      <c r="Y4">
        <f>1468+113</f>
        <v>1581</v>
      </c>
    </row>
    <row r="5" spans="1:44" x14ac:dyDescent="0.25">
      <c r="B5" s="96" t="s">
        <v>342</v>
      </c>
      <c r="H5">
        <v>1320</v>
      </c>
      <c r="I5" s="161"/>
      <c r="N5">
        <v>1</v>
      </c>
      <c r="O5" t="s">
        <v>14</v>
      </c>
    </row>
    <row r="6" spans="1:44" x14ac:dyDescent="0.25">
      <c r="B6" s="99" t="s">
        <v>350</v>
      </c>
      <c r="E6" s="83" t="s">
        <v>479</v>
      </c>
      <c r="N6" s="99">
        <v>1</v>
      </c>
      <c r="O6" t="s">
        <v>125</v>
      </c>
      <c r="V6" s="32" t="s">
        <v>248</v>
      </c>
      <c r="Y6" s="274" t="s">
        <v>16</v>
      </c>
      <c r="Z6" s="3"/>
      <c r="AA6" s="3"/>
    </row>
    <row r="7" spans="1:44" ht="23.25" x14ac:dyDescent="0.35">
      <c r="E7" s="83" t="s">
        <v>480</v>
      </c>
      <c r="H7" s="7" t="s">
        <v>221</v>
      </c>
      <c r="K7" s="1" t="s">
        <v>219</v>
      </c>
      <c r="M7" s="67" t="s">
        <v>249</v>
      </c>
      <c r="O7" t="s">
        <v>1260</v>
      </c>
      <c r="P7">
        <f>IF($N$2&lt;=7,(100/7*$N$2*$N$5),(100+(($N$2-7)*8))*$N$5)</f>
        <v>172</v>
      </c>
      <c r="R7" s="1" t="s">
        <v>4</v>
      </c>
      <c r="V7" s="32" t="s">
        <v>138</v>
      </c>
      <c r="W7" s="3"/>
      <c r="X7" s="46" t="s">
        <v>140</v>
      </c>
      <c r="Y7" s="274" t="s">
        <v>139</v>
      </c>
      <c r="Z7" s="3"/>
      <c r="AA7" s="3"/>
      <c r="AB7" s="1" t="s">
        <v>1</v>
      </c>
      <c r="AC7" s="1"/>
      <c r="AD7" t="s">
        <v>141</v>
      </c>
      <c r="AF7" s="1" t="s">
        <v>1</v>
      </c>
      <c r="AG7" s="1"/>
    </row>
    <row r="8" spans="1:44" ht="15" customHeight="1" x14ac:dyDescent="0.25">
      <c r="E8" s="83">
        <v>1</v>
      </c>
      <c r="H8" s="7" t="s">
        <v>217</v>
      </c>
      <c r="K8" s="1" t="s">
        <v>95</v>
      </c>
      <c r="M8" s="67" t="s">
        <v>138</v>
      </c>
      <c r="O8" s="1" t="s">
        <v>8</v>
      </c>
      <c r="P8" s="1" t="s">
        <v>9</v>
      </c>
      <c r="Q8" s="1" t="s">
        <v>10</v>
      </c>
      <c r="R8" s="1" t="s">
        <v>11</v>
      </c>
      <c r="S8" s="1" t="s">
        <v>0</v>
      </c>
      <c r="T8" s="61"/>
      <c r="U8" s="1"/>
      <c r="V8" s="32" t="s">
        <v>6</v>
      </c>
      <c r="W8" s="3" t="s">
        <v>436</v>
      </c>
      <c r="X8" s="1" t="s">
        <v>15</v>
      </c>
      <c r="Y8" s="274" t="s">
        <v>15</v>
      </c>
      <c r="Z8" s="3"/>
      <c r="AA8" s="3"/>
      <c r="AB8" s="1" t="s">
        <v>2</v>
      </c>
      <c r="AC8" s="1"/>
      <c r="AD8" s="3" t="s">
        <v>142</v>
      </c>
      <c r="AF8" s="1" t="s">
        <v>3</v>
      </c>
      <c r="AG8" s="1"/>
    </row>
    <row r="9" spans="1:44" ht="18.75" x14ac:dyDescent="0.3">
      <c r="B9" t="s">
        <v>747</v>
      </c>
      <c r="C9" s="92">
        <v>227</v>
      </c>
      <c r="D9" s="92"/>
      <c r="E9">
        <v>1.1000000000000001</v>
      </c>
      <c r="H9">
        <f>200*7*1.1338</f>
        <v>1587.32</v>
      </c>
      <c r="I9">
        <v>1186</v>
      </c>
      <c r="K9">
        <v>1020</v>
      </c>
      <c r="M9" s="5">
        <f>N9+R9</f>
        <v>4588.16</v>
      </c>
      <c r="N9">
        <f>H9/7*$N$2</f>
        <v>3628.16</v>
      </c>
      <c r="O9">
        <v>120</v>
      </c>
      <c r="P9">
        <v>175</v>
      </c>
      <c r="Q9">
        <f>IF($N$4&gt;0,100,0)</f>
        <v>0</v>
      </c>
      <c r="R9">
        <f>IF($N$3&gt;3,(($N$3-3)*$Q$3*$N$2)+$R$3,0)</f>
        <v>960</v>
      </c>
      <c r="S9">
        <f>(N9+O9+P9+Q9+R9)*$N$1</f>
        <v>537.14760000000001</v>
      </c>
      <c r="V9" s="49">
        <f>N9+O9+P9+Q9+R9+S9</f>
        <v>5420.3076000000001</v>
      </c>
      <c r="W9" s="49">
        <f>M9/N2</f>
        <v>286.76</v>
      </c>
      <c r="X9">
        <f>IF($N$6 = 1,((V9+0)*0.03*$N$6),47)</f>
        <v>162.609228</v>
      </c>
      <c r="Y9" s="273">
        <f>V9+X9</f>
        <v>5582.9168280000004</v>
      </c>
      <c r="AB9">
        <f>Y9/$N$2</f>
        <v>348.93230175000002</v>
      </c>
      <c r="AD9" s="47">
        <f>AB9/$N$3</f>
        <v>58.155383625000006</v>
      </c>
      <c r="AE9">
        <f>W9*30</f>
        <v>8602.7999999999993</v>
      </c>
      <c r="AF9">
        <f>AE9*0.95</f>
        <v>8172.6599999999989</v>
      </c>
    </row>
    <row r="10" spans="1:44" ht="18.75" x14ac:dyDescent="0.3">
      <c r="B10" t="s">
        <v>13</v>
      </c>
      <c r="C10" s="92">
        <v>181</v>
      </c>
      <c r="D10" s="92"/>
      <c r="E10">
        <v>1.1499999999999999</v>
      </c>
      <c r="H10">
        <f>160*7*1.1338</f>
        <v>1269.856</v>
      </c>
      <c r="I10">
        <v>1369</v>
      </c>
      <c r="K10">
        <v>1250</v>
      </c>
      <c r="M10" s="5">
        <f>N10+R10</f>
        <v>3862.5279999999998</v>
      </c>
      <c r="N10">
        <f>H10/7*$N$2</f>
        <v>2902.5279999999998</v>
      </c>
      <c r="O10">
        <v>120</v>
      </c>
      <c r="P10">
        <v>130</v>
      </c>
      <c r="Q10">
        <f>IF($N$4&gt;0,100,0)</f>
        <v>0</v>
      </c>
      <c r="R10">
        <f>IF($N$3&gt;3,(($N$3-3)*$Q$3*$N$2)+$R$3,0)</f>
        <v>960</v>
      </c>
      <c r="S10">
        <f>(N10+O10+P10+Q10+R10)*$N$1</f>
        <v>452.37808000000001</v>
      </c>
      <c r="V10" s="49">
        <f>N10+O10+P10+Q10+R10+S10</f>
        <v>4564.9060800000007</v>
      </c>
      <c r="W10" s="49">
        <f>M10/N2</f>
        <v>241.40799999999999</v>
      </c>
      <c r="X10">
        <f>IF($N$6 = 1,((V10+0)*0.03*$N$6),47)</f>
        <v>136.9471824</v>
      </c>
      <c r="Y10" s="272">
        <f>V10+X10</f>
        <v>4701.8532624000009</v>
      </c>
      <c r="AB10">
        <f>Y10/$N$2</f>
        <v>293.86582890000005</v>
      </c>
      <c r="AD10" s="47">
        <f>AB10/$N$3</f>
        <v>48.977638150000011</v>
      </c>
      <c r="AE10">
        <f>W10*30</f>
        <v>7242.24</v>
      </c>
      <c r="AF10">
        <f>AE10*0.95</f>
        <v>6880.1279999999997</v>
      </c>
    </row>
    <row r="11" spans="1:44" ht="18.75" x14ac:dyDescent="0.3">
      <c r="B11" t="s">
        <v>748</v>
      </c>
      <c r="C11" s="92">
        <v>283</v>
      </c>
      <c r="D11" s="92"/>
      <c r="E11">
        <v>1.1499999999999999</v>
      </c>
      <c r="H11">
        <f>250*7*1.1338</f>
        <v>1984.1499999999999</v>
      </c>
      <c r="I11">
        <v>1440</v>
      </c>
      <c r="K11">
        <v>1350</v>
      </c>
      <c r="M11" s="5">
        <f>N11+R11</f>
        <v>5495.2</v>
      </c>
      <c r="N11">
        <f>H11/7*$N$2</f>
        <v>4535.2</v>
      </c>
      <c r="O11">
        <v>120</v>
      </c>
      <c r="P11">
        <v>130</v>
      </c>
      <c r="Q11">
        <f>IF($N$4&gt;0,100,0)</f>
        <v>0</v>
      </c>
      <c r="R11">
        <f>IF($N$3&gt;3,(($N$3-3)*$Q$3*$N$2)+$R$3,0)</f>
        <v>960</v>
      </c>
      <c r="S11">
        <f>(N11+O11+P11+Q11+R11)*$N$1</f>
        <v>631.97199999999998</v>
      </c>
      <c r="V11" s="49">
        <f>N11+O11+P11+Q11+R11+S11</f>
        <v>6377.1719999999996</v>
      </c>
      <c r="W11" s="49">
        <f>M11/N2</f>
        <v>343.45</v>
      </c>
      <c r="X11">
        <f>IF($N$6 = 1,((V11+0)*0.03*$N$6),47)</f>
        <v>191.31515999999999</v>
      </c>
      <c r="Y11" s="272">
        <f>V11+X11</f>
        <v>6568.4871599999997</v>
      </c>
      <c r="AB11">
        <f>Y11/$N$2</f>
        <v>410.53044749999998</v>
      </c>
      <c r="AD11" s="47">
        <f>AB11/$N$3</f>
        <v>68.421741249999997</v>
      </c>
      <c r="AE11">
        <f>W11*30</f>
        <v>10303.5</v>
      </c>
      <c r="AF11">
        <f>AE11*0.95</f>
        <v>9788.3249999999989</v>
      </c>
    </row>
    <row r="12" spans="1:44" x14ac:dyDescent="0.25">
      <c r="B12" t="s">
        <v>42</v>
      </c>
      <c r="H12" s="92"/>
      <c r="M12" s="5">
        <f>M10/7</f>
        <v>551.78971428571424</v>
      </c>
      <c r="S12" s="46" t="s">
        <v>222</v>
      </c>
      <c r="T12" s="100"/>
      <c r="U12" s="46"/>
      <c r="V12" s="55">
        <f>ROUND(SUM(V9:V11)/3,0)</f>
        <v>5454</v>
      </c>
      <c r="W12" s="55">
        <f>ROUND((SUM(W9:W11)/3),0)</f>
        <v>291</v>
      </c>
    </row>
    <row r="13" spans="1:44" x14ac:dyDescent="0.25">
      <c r="C13" t="s">
        <v>1276</v>
      </c>
      <c r="N13">
        <f>N9/31</f>
        <v>117.0374193548387</v>
      </c>
      <c r="S13" s="46"/>
      <c r="T13" s="100"/>
      <c r="U13" s="46"/>
      <c r="V13" s="55"/>
      <c r="W13" s="55"/>
    </row>
    <row r="14" spans="1:44" x14ac:dyDescent="0.25">
      <c r="I14" t="s">
        <v>118</v>
      </c>
      <c r="L14" t="s">
        <v>54</v>
      </c>
      <c r="T14" s="65" t="s">
        <v>354</v>
      </c>
      <c r="U14" t="s">
        <v>225</v>
      </c>
      <c r="W14" t="s">
        <v>139</v>
      </c>
      <c r="AJ14" t="s">
        <v>352</v>
      </c>
      <c r="AK14" t="s">
        <v>352</v>
      </c>
      <c r="AL14" t="s">
        <v>352</v>
      </c>
      <c r="AM14" t="s">
        <v>352</v>
      </c>
      <c r="AO14" t="s">
        <v>353</v>
      </c>
      <c r="AP14" t="s">
        <v>353</v>
      </c>
      <c r="AQ14" t="s">
        <v>353</v>
      </c>
      <c r="AR14" t="s">
        <v>353</v>
      </c>
    </row>
    <row r="15" spans="1:44" x14ac:dyDescent="0.25">
      <c r="B15" t="s">
        <v>17</v>
      </c>
      <c r="C15" t="s">
        <v>37</v>
      </c>
      <c r="E15" t="s">
        <v>18</v>
      </c>
      <c r="H15" t="s">
        <v>19</v>
      </c>
      <c r="I15" t="s">
        <v>119</v>
      </c>
      <c r="K15" t="s">
        <v>20</v>
      </c>
      <c r="L15" t="s">
        <v>52</v>
      </c>
      <c r="M15" s="5" t="s">
        <v>53</v>
      </c>
      <c r="P15" s="1" t="s">
        <v>21</v>
      </c>
      <c r="Q15" s="1" t="s">
        <v>22</v>
      </c>
      <c r="R15" s="1" t="s">
        <v>23</v>
      </c>
      <c r="S15" s="1" t="s">
        <v>24</v>
      </c>
      <c r="T15" s="61" t="s">
        <v>355</v>
      </c>
      <c r="U15" s="1" t="s">
        <v>226</v>
      </c>
      <c r="V15" s="1"/>
      <c r="W15" s="56" t="s">
        <v>15</v>
      </c>
      <c r="X15" s="5" t="s">
        <v>25</v>
      </c>
      <c r="Y15" s="1" t="s">
        <v>6</v>
      </c>
      <c r="Z15" s="1"/>
      <c r="AA15" s="1"/>
      <c r="AB15" s="1" t="s">
        <v>9</v>
      </c>
      <c r="AC15" s="1"/>
      <c r="AD15" s="1" t="s">
        <v>26</v>
      </c>
      <c r="AE15" s="1" t="s">
        <v>27</v>
      </c>
      <c r="AF15" s="1" t="s">
        <v>28</v>
      </c>
      <c r="AG15" s="1"/>
      <c r="AH15" s="1" t="s">
        <v>29</v>
      </c>
      <c r="AI15" s="1"/>
      <c r="AJ15" s="1" t="s">
        <v>356</v>
      </c>
      <c r="AK15" s="1" t="s">
        <v>357</v>
      </c>
      <c r="AL15" s="1" t="s">
        <v>358</v>
      </c>
      <c r="AM15" s="1" t="s">
        <v>359</v>
      </c>
      <c r="AN15" s="1"/>
      <c r="AO15" s="1" t="s">
        <v>356</v>
      </c>
      <c r="AP15" s="1" t="s">
        <v>357</v>
      </c>
      <c r="AQ15" s="1" t="s">
        <v>358</v>
      </c>
      <c r="AR15" s="1" t="s">
        <v>359</v>
      </c>
    </row>
    <row r="16" spans="1:44" ht="23.25" x14ac:dyDescent="0.35">
      <c r="A16" s="27"/>
      <c r="B16" s="25">
        <v>2010</v>
      </c>
      <c r="C16" s="26"/>
      <c r="D16" s="26"/>
      <c r="E16" s="27"/>
      <c r="F16" s="27"/>
      <c r="G16" s="27"/>
      <c r="H16" s="27"/>
      <c r="I16" s="27"/>
      <c r="J16" s="27"/>
      <c r="K16" s="27"/>
      <c r="L16" s="27"/>
      <c r="M16" s="28"/>
      <c r="N16" s="29"/>
      <c r="O16" s="27"/>
      <c r="P16" s="30"/>
      <c r="Q16" s="30"/>
      <c r="R16" s="27"/>
      <c r="S16" s="31"/>
      <c r="T16" s="60"/>
      <c r="U16" s="60"/>
      <c r="V16" s="30"/>
      <c r="W16" s="57" t="s">
        <v>227</v>
      </c>
      <c r="X16" s="28"/>
      <c r="Y16" s="30"/>
      <c r="Z16" s="30"/>
      <c r="AA16" s="30"/>
      <c r="AB16" s="30"/>
      <c r="AC16" s="30"/>
      <c r="AD16" s="27"/>
      <c r="AE16" s="30"/>
      <c r="AF16" s="30"/>
      <c r="AG16" s="30"/>
      <c r="AH16" s="30"/>
    </row>
    <row r="17" spans="2:44" ht="15.75" x14ac:dyDescent="0.25">
      <c r="B17" t="s">
        <v>58</v>
      </c>
      <c r="C17" s="11" t="s">
        <v>45</v>
      </c>
      <c r="D17" s="11"/>
      <c r="E17" t="s">
        <v>30</v>
      </c>
      <c r="F17">
        <f>IF(E17=$B$12,I17,0)</f>
        <v>0</v>
      </c>
      <c r="G17">
        <f>IF(F17&gt;0,0,1)</f>
        <v>1</v>
      </c>
      <c r="H17" t="s">
        <v>31</v>
      </c>
      <c r="I17">
        <v>15</v>
      </c>
      <c r="K17" t="s">
        <v>32</v>
      </c>
      <c r="L17" t="s">
        <v>55</v>
      </c>
      <c r="M17" s="5">
        <v>0</v>
      </c>
      <c r="N17" s="4" t="s">
        <v>33</v>
      </c>
      <c r="P17" s="44">
        <v>2656</v>
      </c>
      <c r="Q17" s="1">
        <v>0</v>
      </c>
      <c r="R17">
        <f t="shared" ref="R17:R27" si="0">(P17+500)-Q17</f>
        <v>3156</v>
      </c>
      <c r="S17" s="6" t="s">
        <v>34</v>
      </c>
      <c r="T17" s="61">
        <v>2</v>
      </c>
      <c r="U17" s="61">
        <f>IF(V17=$AE$2,47,IF(V17=$AE$1,((R17+Q17)*0.039),IF(V17=$AE$3,0)))</f>
        <v>47</v>
      </c>
      <c r="V17" s="7" t="str">
        <f>IF(W17=1,$AE$2,IF(W17=2,$AE$1,IF(AND(W17&lt;&gt;1,W17&lt;&gt;20)=TRUE,$AE$3)))</f>
        <v>BANK</v>
      </c>
      <c r="W17" s="56">
        <v>1</v>
      </c>
      <c r="X17" s="5" t="s">
        <v>25</v>
      </c>
      <c r="Y17" s="1">
        <f t="shared" ref="Y17:Y26" si="1">R17+Q17</f>
        <v>3156</v>
      </c>
      <c r="Z17" s="1"/>
      <c r="AA17" s="1">
        <f t="shared" ref="AA17:AA33" si="2">IF(X17=$AA$1,R17-500,0)</f>
        <v>0</v>
      </c>
      <c r="AB17" s="1">
        <f>125+65</f>
        <v>190</v>
      </c>
      <c r="AC17" s="1"/>
      <c r="AD17">
        <f>P17-AB17</f>
        <v>2466</v>
      </c>
      <c r="AE17" s="1"/>
      <c r="AF17" s="1">
        <f>IF(I17&gt;0,30*G17,0)</f>
        <v>30</v>
      </c>
      <c r="AG17" s="1">
        <f t="shared" ref="AG17:AG33" si="3">IF(AH17&gt;0,AH17,0)</f>
        <v>2436</v>
      </c>
      <c r="AH17" s="1">
        <f t="shared" ref="AH17:AH33" si="4">AD17-AF17</f>
        <v>2436</v>
      </c>
      <c r="AJ17">
        <f t="shared" ref="AJ17:AJ33" si="5">IF(T17=1,P17,0)</f>
        <v>0</v>
      </c>
      <c r="AK17">
        <f t="shared" ref="AK17:AK33" si="6">IF(T17=2,P17,0)</f>
        <v>2656</v>
      </c>
      <c r="AL17">
        <f t="shared" ref="AL17:AL33" si="7">IF(T17=3,P17,0)</f>
        <v>0</v>
      </c>
      <c r="AM17">
        <f t="shared" ref="AM17:AM33" si="8">IF(T17=4,P17,0)</f>
        <v>0</v>
      </c>
      <c r="AO17">
        <f>IF(T17=1,P17,0)</f>
        <v>0</v>
      </c>
      <c r="AP17">
        <f>IF(T17=2,P17,0)</f>
        <v>2656</v>
      </c>
      <c r="AQ17">
        <f>IF(T17=3,P17,0)</f>
        <v>0</v>
      </c>
      <c r="AR17">
        <f>IF(T17=4,P17,0)</f>
        <v>0</v>
      </c>
    </row>
    <row r="18" spans="2:44" ht="15.75" x14ac:dyDescent="0.25">
      <c r="B18" t="s">
        <v>44</v>
      </c>
      <c r="C18" s="11" t="s">
        <v>41</v>
      </c>
      <c r="D18" s="11"/>
      <c r="E18" t="s">
        <v>42</v>
      </c>
      <c r="F18">
        <f t="shared" ref="F18:F72" si="9">IF(E18=$B$12,I18,0)</f>
        <v>15</v>
      </c>
      <c r="G18">
        <f t="shared" ref="G18:G33" si="10">IF(F18&gt;0,0,1)</f>
        <v>0</v>
      </c>
      <c r="H18" t="s">
        <v>255</v>
      </c>
      <c r="I18">
        <v>15</v>
      </c>
      <c r="K18" t="s">
        <v>76</v>
      </c>
      <c r="L18" t="s">
        <v>55</v>
      </c>
      <c r="M18" s="5">
        <v>3</v>
      </c>
      <c r="N18" s="4" t="s">
        <v>36</v>
      </c>
      <c r="P18" s="44">
        <v>0</v>
      </c>
      <c r="Q18" s="1">
        <v>0</v>
      </c>
      <c r="R18">
        <f t="shared" si="0"/>
        <v>500</v>
      </c>
      <c r="S18" s="6" t="s">
        <v>42</v>
      </c>
      <c r="T18" s="61">
        <v>3</v>
      </c>
      <c r="U18" s="61">
        <f t="shared" ref="U18:U33" si="11">IF(V18=$AE$2,47,IF(V18=$AE$1,((R18+Q18)*0.039),IF(V18=$AE$3,0)))</f>
        <v>0</v>
      </c>
      <c r="V18" s="7" t="str">
        <f>IF(W18=1,$AE$2,IF(W18=2,$AE$1,IF(AND(W18&lt;&gt;1,W18&lt;&gt;20)=TRUE,$AE$3)))</f>
        <v>NONE</v>
      </c>
      <c r="W18" s="56">
        <v>0</v>
      </c>
      <c r="X18" s="5" t="s">
        <v>42</v>
      </c>
      <c r="Y18" s="1">
        <f t="shared" si="1"/>
        <v>500</v>
      </c>
      <c r="Z18" s="1"/>
      <c r="AA18" s="1">
        <f t="shared" si="2"/>
        <v>0</v>
      </c>
      <c r="AB18" s="1">
        <v>0</v>
      </c>
      <c r="AC18" s="1"/>
      <c r="AD18">
        <f t="shared" ref="AD18:AD50" si="12">P18-AB18</f>
        <v>0</v>
      </c>
      <c r="AE18" s="1"/>
      <c r="AF18" s="1">
        <f t="shared" ref="AF18:AF33" si="13">IF(I18&gt;0,30*G18,0)</f>
        <v>0</v>
      </c>
      <c r="AG18" s="1">
        <f t="shared" si="3"/>
        <v>0</v>
      </c>
      <c r="AH18" s="1">
        <f t="shared" si="4"/>
        <v>0</v>
      </c>
      <c r="AJ18">
        <f t="shared" si="5"/>
        <v>0</v>
      </c>
      <c r="AK18">
        <f t="shared" si="6"/>
        <v>0</v>
      </c>
      <c r="AL18">
        <f t="shared" si="7"/>
        <v>0</v>
      </c>
      <c r="AM18">
        <f t="shared" si="8"/>
        <v>0</v>
      </c>
      <c r="AO18">
        <f>IF(T18=1,P18,0)</f>
        <v>0</v>
      </c>
      <c r="AP18">
        <f>IF(T18=2,P18,0)</f>
        <v>0</v>
      </c>
      <c r="AQ18">
        <f>IF(T18=3,P18,0)</f>
        <v>0</v>
      </c>
      <c r="AR18">
        <f>IF(T18=4,P18,0)</f>
        <v>0</v>
      </c>
    </row>
    <row r="19" spans="2:44" ht="15.75" x14ac:dyDescent="0.25">
      <c r="B19" t="s">
        <v>38</v>
      </c>
      <c r="C19" s="11" t="s">
        <v>46</v>
      </c>
      <c r="D19" s="11"/>
      <c r="E19" t="s">
        <v>30</v>
      </c>
      <c r="F19">
        <f t="shared" si="9"/>
        <v>0</v>
      </c>
      <c r="G19">
        <f t="shared" si="10"/>
        <v>1</v>
      </c>
      <c r="H19" t="s">
        <v>39</v>
      </c>
      <c r="I19">
        <v>7</v>
      </c>
      <c r="K19" t="s">
        <v>40</v>
      </c>
      <c r="L19" t="s">
        <v>55</v>
      </c>
      <c r="M19" s="5">
        <v>0</v>
      </c>
      <c r="N19" s="4" t="s">
        <v>36</v>
      </c>
      <c r="P19" s="44">
        <v>1622</v>
      </c>
      <c r="Q19" s="1">
        <v>0</v>
      </c>
      <c r="R19">
        <f t="shared" si="0"/>
        <v>2122</v>
      </c>
      <c r="S19" s="6" t="s">
        <v>34</v>
      </c>
      <c r="T19" s="61">
        <v>3</v>
      </c>
      <c r="U19" s="61">
        <f t="shared" si="11"/>
        <v>82.757999999999996</v>
      </c>
      <c r="V19" s="7" t="str">
        <f>IF(W19=1,$AE$2,IF(W19=2,$AE$1,IF(AND(W19&lt;&gt;1,W19&lt;&gt;20)=TRUE,$AE$3)))</f>
        <v>PAYPAL</v>
      </c>
      <c r="W19" s="56">
        <v>2</v>
      </c>
      <c r="X19" s="5" t="s">
        <v>25</v>
      </c>
      <c r="Y19" s="1">
        <f t="shared" si="1"/>
        <v>2122</v>
      </c>
      <c r="Z19" s="1"/>
      <c r="AA19" s="1">
        <f t="shared" si="2"/>
        <v>0</v>
      </c>
      <c r="AB19" s="1">
        <v>125</v>
      </c>
      <c r="AC19" s="1"/>
      <c r="AD19">
        <f t="shared" si="12"/>
        <v>1497</v>
      </c>
      <c r="AE19" s="1"/>
      <c r="AF19" s="1">
        <f t="shared" si="13"/>
        <v>30</v>
      </c>
      <c r="AG19" s="1">
        <f t="shared" si="3"/>
        <v>1467</v>
      </c>
      <c r="AH19" s="1">
        <f t="shared" si="4"/>
        <v>1467</v>
      </c>
      <c r="AJ19">
        <f t="shared" si="5"/>
        <v>0</v>
      </c>
      <c r="AK19">
        <f t="shared" si="6"/>
        <v>0</v>
      </c>
      <c r="AL19">
        <f t="shared" si="7"/>
        <v>1622</v>
      </c>
      <c r="AM19">
        <f t="shared" si="8"/>
        <v>0</v>
      </c>
      <c r="AO19">
        <f t="shared" ref="AO19:AO33" si="14">IF(T19=1,P19,0)</f>
        <v>0</v>
      </c>
      <c r="AP19">
        <f t="shared" ref="AP19:AP33" si="15">IF(T19=2,P19,0)</f>
        <v>0</v>
      </c>
      <c r="AQ19">
        <f t="shared" ref="AQ19:AQ33" si="16">IF(T19=3,P19,0)</f>
        <v>1622</v>
      </c>
      <c r="AR19">
        <f t="shared" ref="AR19:AR33" si="17">IF(T19=4,P19,0)</f>
        <v>0</v>
      </c>
    </row>
    <row r="20" spans="2:44" ht="15.75" x14ac:dyDescent="0.25">
      <c r="C20" s="11"/>
      <c r="D20" s="11"/>
      <c r="F20">
        <f t="shared" si="9"/>
        <v>0</v>
      </c>
      <c r="G20">
        <f t="shared" si="10"/>
        <v>1</v>
      </c>
      <c r="N20" s="4"/>
      <c r="P20" s="44"/>
      <c r="Q20" s="1"/>
      <c r="R20">
        <f t="shared" si="0"/>
        <v>500</v>
      </c>
      <c r="S20" s="6"/>
      <c r="T20" s="61"/>
      <c r="U20" s="61">
        <f t="shared" si="11"/>
        <v>0</v>
      </c>
      <c r="V20" s="7" t="str">
        <f>IF(W20=1,$AE$2,IF(W20=2,$AE$1,IF(AND(W20&lt;&gt;1,W20&lt;&gt;20)=TRUE,$AE$3)))</f>
        <v>NONE</v>
      </c>
      <c r="W20" s="56"/>
      <c r="X20" s="5"/>
      <c r="Y20" s="1">
        <v>0</v>
      </c>
      <c r="Z20" s="1"/>
      <c r="AA20" s="1">
        <f t="shared" si="2"/>
        <v>0</v>
      </c>
      <c r="AB20" s="1">
        <v>0</v>
      </c>
      <c r="AC20" s="1"/>
      <c r="AD20">
        <f t="shared" si="12"/>
        <v>0</v>
      </c>
      <c r="AE20" s="1"/>
      <c r="AF20" s="1">
        <f t="shared" si="13"/>
        <v>0</v>
      </c>
      <c r="AG20" s="1">
        <f t="shared" si="3"/>
        <v>0</v>
      </c>
      <c r="AH20" s="1">
        <f t="shared" si="4"/>
        <v>0</v>
      </c>
      <c r="AJ20">
        <f t="shared" si="5"/>
        <v>0</v>
      </c>
      <c r="AK20">
        <f t="shared" si="6"/>
        <v>0</v>
      </c>
      <c r="AL20">
        <f t="shared" si="7"/>
        <v>0</v>
      </c>
      <c r="AM20">
        <f t="shared" si="8"/>
        <v>0</v>
      </c>
      <c r="AO20">
        <f t="shared" si="14"/>
        <v>0</v>
      </c>
      <c r="AP20">
        <f t="shared" si="15"/>
        <v>0</v>
      </c>
      <c r="AQ20">
        <f t="shared" si="16"/>
        <v>0</v>
      </c>
      <c r="AR20">
        <f t="shared" si="17"/>
        <v>0</v>
      </c>
    </row>
    <row r="21" spans="2:44" x14ac:dyDescent="0.25">
      <c r="B21" t="s">
        <v>59</v>
      </c>
      <c r="C21" t="s">
        <v>60</v>
      </c>
      <c r="E21" t="s">
        <v>61</v>
      </c>
      <c r="F21">
        <f t="shared" si="9"/>
        <v>0</v>
      </c>
      <c r="G21">
        <f t="shared" si="10"/>
        <v>1</v>
      </c>
      <c r="H21" t="s">
        <v>62</v>
      </c>
      <c r="I21">
        <v>14</v>
      </c>
      <c r="K21" t="s">
        <v>63</v>
      </c>
      <c r="L21" t="s">
        <v>55</v>
      </c>
      <c r="M21" s="5">
        <v>3</v>
      </c>
      <c r="N21" s="4" t="s">
        <v>36</v>
      </c>
      <c r="P21" s="44">
        <v>2796</v>
      </c>
      <c r="Q21" s="1">
        <v>1118</v>
      </c>
      <c r="R21">
        <f t="shared" si="0"/>
        <v>2178</v>
      </c>
      <c r="S21" s="6" t="s">
        <v>67</v>
      </c>
      <c r="T21" s="61">
        <v>3</v>
      </c>
      <c r="U21" s="61">
        <f t="shared" si="11"/>
        <v>0</v>
      </c>
      <c r="V21" s="7" t="str">
        <f t="shared" ref="V21:V33" si="18">IF(W21=1,$AE$2,IF(W21=2,$AE$1,IF(AND(W21&lt;&gt;1,W21&lt;&gt;20)=TRUE,$AE$3)))</f>
        <v>NONE</v>
      </c>
      <c r="W21" s="56"/>
      <c r="X21" s="5" t="s">
        <v>123</v>
      </c>
      <c r="Y21" s="1">
        <f t="shared" si="1"/>
        <v>3296</v>
      </c>
      <c r="Z21" s="1"/>
      <c r="AA21" s="1">
        <f t="shared" si="2"/>
        <v>0</v>
      </c>
      <c r="AB21" s="1">
        <v>130</v>
      </c>
      <c r="AC21" s="1"/>
      <c r="AD21">
        <f t="shared" si="12"/>
        <v>2666</v>
      </c>
      <c r="AE21" s="1"/>
      <c r="AF21" s="1">
        <f t="shared" si="13"/>
        <v>30</v>
      </c>
      <c r="AG21" s="1">
        <f t="shared" si="3"/>
        <v>2636</v>
      </c>
      <c r="AH21" s="1">
        <f t="shared" si="4"/>
        <v>2636</v>
      </c>
      <c r="AJ21">
        <f t="shared" si="5"/>
        <v>0</v>
      </c>
      <c r="AK21">
        <f t="shared" si="6"/>
        <v>0</v>
      </c>
      <c r="AL21">
        <f t="shared" si="7"/>
        <v>2796</v>
      </c>
      <c r="AM21">
        <f t="shared" si="8"/>
        <v>0</v>
      </c>
      <c r="AO21">
        <f t="shared" si="14"/>
        <v>0</v>
      </c>
      <c r="AP21">
        <f t="shared" si="15"/>
        <v>0</v>
      </c>
      <c r="AQ21">
        <f t="shared" si="16"/>
        <v>2796</v>
      </c>
      <c r="AR21">
        <f t="shared" si="17"/>
        <v>0</v>
      </c>
    </row>
    <row r="22" spans="2:44" x14ac:dyDescent="0.25">
      <c r="B22" t="s">
        <v>88</v>
      </c>
      <c r="C22" t="s">
        <v>87</v>
      </c>
      <c r="E22" t="s">
        <v>89</v>
      </c>
      <c r="F22">
        <f t="shared" si="9"/>
        <v>0</v>
      </c>
      <c r="G22">
        <f t="shared" si="10"/>
        <v>1</v>
      </c>
      <c r="H22" t="s">
        <v>91</v>
      </c>
      <c r="I22">
        <v>7</v>
      </c>
      <c r="K22" t="s">
        <v>90</v>
      </c>
      <c r="L22" t="s">
        <v>55</v>
      </c>
      <c r="M22" s="5">
        <v>0</v>
      </c>
      <c r="N22" s="4" t="s">
        <v>36</v>
      </c>
      <c r="P22" s="44">
        <v>1200</v>
      </c>
      <c r="Q22" s="1">
        <f>P22*0.4</f>
        <v>480</v>
      </c>
      <c r="R22">
        <f t="shared" si="0"/>
        <v>1220</v>
      </c>
      <c r="S22" s="6" t="s">
        <v>92</v>
      </c>
      <c r="T22" s="61">
        <v>3</v>
      </c>
      <c r="U22" s="61">
        <f t="shared" si="11"/>
        <v>0</v>
      </c>
      <c r="V22" s="7" t="str">
        <f t="shared" si="18"/>
        <v>NONE</v>
      </c>
      <c r="W22" s="56"/>
      <c r="X22" s="5" t="s">
        <v>133</v>
      </c>
      <c r="Y22" s="1">
        <f t="shared" si="1"/>
        <v>1700</v>
      </c>
      <c r="Z22" s="1"/>
      <c r="AA22" s="1">
        <f t="shared" si="2"/>
        <v>0</v>
      </c>
      <c r="AB22" s="1">
        <v>130</v>
      </c>
      <c r="AC22" s="1"/>
      <c r="AD22">
        <f t="shared" si="12"/>
        <v>1070</v>
      </c>
      <c r="AE22" s="1"/>
      <c r="AF22" s="1">
        <f t="shared" si="13"/>
        <v>30</v>
      </c>
      <c r="AG22" s="1">
        <f t="shared" si="3"/>
        <v>1040</v>
      </c>
      <c r="AH22" s="1">
        <f t="shared" si="4"/>
        <v>1040</v>
      </c>
      <c r="AJ22">
        <f t="shared" si="5"/>
        <v>0</v>
      </c>
      <c r="AK22">
        <f t="shared" si="6"/>
        <v>0</v>
      </c>
      <c r="AL22">
        <f t="shared" si="7"/>
        <v>1200</v>
      </c>
      <c r="AM22">
        <f t="shared" si="8"/>
        <v>0</v>
      </c>
      <c r="AO22">
        <f t="shared" si="14"/>
        <v>0</v>
      </c>
      <c r="AP22">
        <f t="shared" si="15"/>
        <v>0</v>
      </c>
      <c r="AQ22">
        <f t="shared" si="16"/>
        <v>1200</v>
      </c>
      <c r="AR22">
        <f t="shared" si="17"/>
        <v>0</v>
      </c>
    </row>
    <row r="23" spans="2:44" x14ac:dyDescent="0.25">
      <c r="B23" t="s">
        <v>71</v>
      </c>
      <c r="C23" t="s">
        <v>73</v>
      </c>
      <c r="E23" t="s">
        <v>89</v>
      </c>
      <c r="F23">
        <f t="shared" si="9"/>
        <v>0</v>
      </c>
      <c r="G23">
        <f t="shared" si="10"/>
        <v>1</v>
      </c>
      <c r="H23" t="s">
        <v>72</v>
      </c>
      <c r="I23">
        <v>11</v>
      </c>
      <c r="K23" t="s">
        <v>74</v>
      </c>
      <c r="L23" t="s">
        <v>55</v>
      </c>
      <c r="M23" s="5">
        <v>0</v>
      </c>
      <c r="N23" s="4" t="s">
        <v>36</v>
      </c>
      <c r="P23" s="44">
        <f>1819+71</f>
        <v>1890</v>
      </c>
      <c r="Q23" s="1">
        <f>2390*0.4</f>
        <v>956</v>
      </c>
      <c r="R23">
        <f t="shared" si="0"/>
        <v>1434</v>
      </c>
      <c r="S23" s="6" t="s">
        <v>75</v>
      </c>
      <c r="T23" s="61">
        <v>3</v>
      </c>
      <c r="U23" s="61">
        <f t="shared" si="11"/>
        <v>93.21</v>
      </c>
      <c r="V23" s="7" t="str">
        <f t="shared" si="18"/>
        <v>PAYPAL</v>
      </c>
      <c r="W23" s="56">
        <v>2</v>
      </c>
      <c r="X23" s="5" t="s">
        <v>133</v>
      </c>
      <c r="Y23" s="1">
        <f t="shared" si="1"/>
        <v>2390</v>
      </c>
      <c r="Z23" s="1"/>
      <c r="AA23" s="1">
        <f t="shared" si="2"/>
        <v>0</v>
      </c>
      <c r="AB23" s="1">
        <v>130</v>
      </c>
      <c r="AC23" s="1"/>
      <c r="AD23">
        <f t="shared" si="12"/>
        <v>1760</v>
      </c>
      <c r="AE23" s="1"/>
      <c r="AF23" s="1">
        <f t="shared" si="13"/>
        <v>30</v>
      </c>
      <c r="AG23" s="1">
        <f t="shared" si="3"/>
        <v>1730</v>
      </c>
      <c r="AH23" s="1">
        <f t="shared" si="4"/>
        <v>1730</v>
      </c>
      <c r="AJ23">
        <f t="shared" si="5"/>
        <v>0</v>
      </c>
      <c r="AK23">
        <f t="shared" si="6"/>
        <v>0</v>
      </c>
      <c r="AL23">
        <f t="shared" si="7"/>
        <v>1890</v>
      </c>
      <c r="AM23">
        <f t="shared" si="8"/>
        <v>0</v>
      </c>
      <c r="AO23">
        <f t="shared" si="14"/>
        <v>0</v>
      </c>
      <c r="AP23">
        <f t="shared" si="15"/>
        <v>0</v>
      </c>
      <c r="AQ23">
        <f t="shared" si="16"/>
        <v>1890</v>
      </c>
      <c r="AR23">
        <f t="shared" si="17"/>
        <v>0</v>
      </c>
    </row>
    <row r="24" spans="2:44" x14ac:dyDescent="0.25">
      <c r="B24" t="s">
        <v>111</v>
      </c>
      <c r="C24" t="s">
        <v>110</v>
      </c>
      <c r="E24" t="s">
        <v>30</v>
      </c>
      <c r="F24">
        <f t="shared" si="9"/>
        <v>0</v>
      </c>
      <c r="G24">
        <f t="shared" si="10"/>
        <v>1</v>
      </c>
      <c r="H24" t="s">
        <v>112</v>
      </c>
      <c r="I24">
        <v>7</v>
      </c>
      <c r="K24" t="s">
        <v>108</v>
      </c>
      <c r="L24" t="s">
        <v>55</v>
      </c>
      <c r="M24" s="5">
        <v>0</v>
      </c>
      <c r="N24" s="4" t="s">
        <v>36</v>
      </c>
      <c r="P24" s="44">
        <v>1202</v>
      </c>
      <c r="Q24" s="1">
        <v>681</v>
      </c>
      <c r="R24">
        <f t="shared" si="0"/>
        <v>1021</v>
      </c>
      <c r="S24" s="6" t="s">
        <v>113</v>
      </c>
      <c r="T24" s="61">
        <v>4</v>
      </c>
      <c r="U24" s="61">
        <f t="shared" si="11"/>
        <v>66.378</v>
      </c>
      <c r="V24" s="7" t="str">
        <f t="shared" si="18"/>
        <v>PAYPAL</v>
      </c>
      <c r="W24" s="56">
        <v>2</v>
      </c>
      <c r="X24" s="5" t="s">
        <v>163</v>
      </c>
      <c r="Y24" s="1">
        <f t="shared" si="1"/>
        <v>1702</v>
      </c>
      <c r="Z24" s="1"/>
      <c r="AA24" s="1">
        <f t="shared" si="2"/>
        <v>0</v>
      </c>
      <c r="AB24" s="1">
        <v>130</v>
      </c>
      <c r="AC24" s="1"/>
      <c r="AD24">
        <f t="shared" si="12"/>
        <v>1072</v>
      </c>
      <c r="AE24" s="1"/>
      <c r="AF24" s="1">
        <f t="shared" si="13"/>
        <v>30</v>
      </c>
      <c r="AG24" s="1">
        <f t="shared" si="3"/>
        <v>1042</v>
      </c>
      <c r="AH24" s="1">
        <f t="shared" si="4"/>
        <v>1042</v>
      </c>
      <c r="AJ24">
        <f t="shared" si="5"/>
        <v>0</v>
      </c>
      <c r="AK24">
        <f t="shared" si="6"/>
        <v>0</v>
      </c>
      <c r="AL24">
        <f t="shared" si="7"/>
        <v>0</v>
      </c>
      <c r="AM24">
        <f t="shared" si="8"/>
        <v>1202</v>
      </c>
      <c r="AO24">
        <f t="shared" si="14"/>
        <v>0</v>
      </c>
      <c r="AP24">
        <f t="shared" si="15"/>
        <v>0</v>
      </c>
      <c r="AQ24">
        <f t="shared" si="16"/>
        <v>0</v>
      </c>
      <c r="AR24">
        <f t="shared" si="17"/>
        <v>1202</v>
      </c>
    </row>
    <row r="25" spans="2:44" ht="18" customHeight="1" x14ac:dyDescent="0.25">
      <c r="B25" t="s">
        <v>47</v>
      </c>
      <c r="C25" t="s">
        <v>48</v>
      </c>
      <c r="E25" t="s">
        <v>30</v>
      </c>
      <c r="F25">
        <f t="shared" si="9"/>
        <v>0</v>
      </c>
      <c r="G25">
        <f t="shared" si="10"/>
        <v>1</v>
      </c>
      <c r="H25" t="s">
        <v>49</v>
      </c>
      <c r="I25">
        <v>7</v>
      </c>
      <c r="K25" t="s">
        <v>64</v>
      </c>
      <c r="L25" t="s">
        <v>55</v>
      </c>
      <c r="M25" s="5">
        <v>0</v>
      </c>
      <c r="N25" s="4" t="s">
        <v>36</v>
      </c>
      <c r="P25" s="44">
        <v>1600</v>
      </c>
      <c r="Q25" s="1">
        <v>840</v>
      </c>
      <c r="R25">
        <f t="shared" si="0"/>
        <v>1260</v>
      </c>
      <c r="S25" s="6" t="s">
        <v>94</v>
      </c>
      <c r="T25" s="61">
        <v>4</v>
      </c>
      <c r="U25" s="61">
        <f t="shared" si="11"/>
        <v>0</v>
      </c>
      <c r="V25" s="7" t="str">
        <f t="shared" si="18"/>
        <v>NONE</v>
      </c>
      <c r="W25" s="56"/>
      <c r="X25" s="5" t="s">
        <v>170</v>
      </c>
      <c r="Y25" s="1">
        <f t="shared" si="1"/>
        <v>2100</v>
      </c>
      <c r="Z25" s="1"/>
      <c r="AA25" s="1">
        <f t="shared" si="2"/>
        <v>0</v>
      </c>
      <c r="AB25" s="1">
        <v>130</v>
      </c>
      <c r="AC25" s="1"/>
      <c r="AD25">
        <f t="shared" si="12"/>
        <v>1470</v>
      </c>
      <c r="AE25" s="1"/>
      <c r="AF25" s="1">
        <f t="shared" si="13"/>
        <v>30</v>
      </c>
      <c r="AG25" s="1">
        <f t="shared" si="3"/>
        <v>1440</v>
      </c>
      <c r="AH25" s="1">
        <f t="shared" si="4"/>
        <v>1440</v>
      </c>
      <c r="AJ25">
        <f t="shared" si="5"/>
        <v>0</v>
      </c>
      <c r="AK25">
        <f t="shared" si="6"/>
        <v>0</v>
      </c>
      <c r="AL25">
        <f t="shared" si="7"/>
        <v>0</v>
      </c>
      <c r="AM25">
        <f t="shared" si="8"/>
        <v>1600</v>
      </c>
      <c r="AO25">
        <f t="shared" si="14"/>
        <v>0</v>
      </c>
      <c r="AP25">
        <f t="shared" si="15"/>
        <v>0</v>
      </c>
      <c r="AQ25">
        <f t="shared" si="16"/>
        <v>0</v>
      </c>
      <c r="AR25">
        <f t="shared" si="17"/>
        <v>1600</v>
      </c>
    </row>
    <row r="26" spans="2:44" x14ac:dyDescent="0.25">
      <c r="B26" t="s">
        <v>77</v>
      </c>
      <c r="C26" t="s">
        <v>78</v>
      </c>
      <c r="E26" t="s">
        <v>30</v>
      </c>
      <c r="F26">
        <f t="shared" si="9"/>
        <v>0</v>
      </c>
      <c r="G26">
        <f t="shared" si="10"/>
        <v>1</v>
      </c>
      <c r="H26" t="s">
        <v>79</v>
      </c>
      <c r="I26">
        <v>14</v>
      </c>
      <c r="K26" t="s">
        <v>80</v>
      </c>
      <c r="L26" t="s">
        <v>55</v>
      </c>
      <c r="M26" s="5">
        <v>0</v>
      </c>
      <c r="N26" s="4" t="s">
        <v>36</v>
      </c>
      <c r="P26" s="44">
        <v>2234</v>
      </c>
      <c r="Q26" s="1">
        <v>894</v>
      </c>
      <c r="R26">
        <f t="shared" si="0"/>
        <v>1840</v>
      </c>
      <c r="S26" s="6" t="s">
        <v>81</v>
      </c>
      <c r="T26" s="61">
        <v>4</v>
      </c>
      <c r="U26" s="61">
        <f t="shared" si="11"/>
        <v>106.626</v>
      </c>
      <c r="V26" s="7" t="str">
        <f t="shared" si="18"/>
        <v>PAYPAL</v>
      </c>
      <c r="W26" s="56">
        <v>2</v>
      </c>
      <c r="X26" s="5" t="s">
        <v>163</v>
      </c>
      <c r="Y26" s="1">
        <f t="shared" si="1"/>
        <v>2734</v>
      </c>
      <c r="Z26" s="1"/>
      <c r="AA26" s="1">
        <f t="shared" si="2"/>
        <v>0</v>
      </c>
      <c r="AB26" s="1">
        <v>130</v>
      </c>
      <c r="AC26" s="1"/>
      <c r="AD26">
        <f t="shared" si="12"/>
        <v>2104</v>
      </c>
      <c r="AE26" s="1"/>
      <c r="AF26" s="1">
        <f t="shared" si="13"/>
        <v>30</v>
      </c>
      <c r="AG26" s="1">
        <f t="shared" si="3"/>
        <v>2074</v>
      </c>
      <c r="AH26" s="1">
        <f t="shared" si="4"/>
        <v>2074</v>
      </c>
      <c r="AJ26">
        <f t="shared" si="5"/>
        <v>0</v>
      </c>
      <c r="AK26">
        <f t="shared" si="6"/>
        <v>0</v>
      </c>
      <c r="AL26">
        <f t="shared" si="7"/>
        <v>0</v>
      </c>
      <c r="AM26">
        <f t="shared" si="8"/>
        <v>2234</v>
      </c>
      <c r="AO26">
        <f t="shared" si="14"/>
        <v>0</v>
      </c>
      <c r="AP26">
        <f t="shared" si="15"/>
        <v>0</v>
      </c>
      <c r="AQ26">
        <f t="shared" si="16"/>
        <v>0</v>
      </c>
      <c r="AR26">
        <f t="shared" si="17"/>
        <v>2234</v>
      </c>
    </row>
    <row r="27" spans="2:44" x14ac:dyDescent="0.25">
      <c r="B27" t="s">
        <v>144</v>
      </c>
      <c r="C27" s="16" t="s">
        <v>124</v>
      </c>
      <c r="D27" s="16"/>
      <c r="E27" t="s">
        <v>61</v>
      </c>
      <c r="F27">
        <f t="shared" si="9"/>
        <v>0</v>
      </c>
      <c r="G27">
        <f t="shared" si="10"/>
        <v>1</v>
      </c>
      <c r="H27" t="s">
        <v>127</v>
      </c>
      <c r="I27">
        <v>9</v>
      </c>
      <c r="K27" t="s">
        <v>74</v>
      </c>
      <c r="L27" t="s">
        <v>55</v>
      </c>
      <c r="M27" s="5">
        <v>0</v>
      </c>
      <c r="N27" s="4" t="s">
        <v>36</v>
      </c>
      <c r="P27" s="44">
        <v>1632</v>
      </c>
      <c r="Q27" s="1">
        <v>653</v>
      </c>
      <c r="R27">
        <f t="shared" si="0"/>
        <v>1479</v>
      </c>
      <c r="S27" s="6" t="s">
        <v>126</v>
      </c>
      <c r="T27" s="61">
        <v>4</v>
      </c>
      <c r="U27" s="61">
        <f t="shared" si="11"/>
        <v>83.147999999999996</v>
      </c>
      <c r="V27" s="7" t="str">
        <f t="shared" si="18"/>
        <v>PAYPAL</v>
      </c>
      <c r="W27" s="56">
        <v>2</v>
      </c>
      <c r="X27" s="5" t="s">
        <v>171</v>
      </c>
      <c r="Y27" s="1">
        <f>R27+Q27</f>
        <v>2132</v>
      </c>
      <c r="Z27" s="1"/>
      <c r="AA27" s="1">
        <f t="shared" si="2"/>
        <v>0</v>
      </c>
      <c r="AB27" s="1">
        <v>130</v>
      </c>
      <c r="AC27" s="1"/>
      <c r="AD27">
        <f t="shared" si="12"/>
        <v>1502</v>
      </c>
      <c r="AE27" s="1"/>
      <c r="AF27" s="1">
        <f t="shared" si="13"/>
        <v>30</v>
      </c>
      <c r="AG27" s="1">
        <f t="shared" si="3"/>
        <v>1472</v>
      </c>
      <c r="AH27" s="1">
        <f t="shared" si="4"/>
        <v>1472</v>
      </c>
      <c r="AJ27">
        <f t="shared" si="5"/>
        <v>0</v>
      </c>
      <c r="AK27">
        <f t="shared" si="6"/>
        <v>0</v>
      </c>
      <c r="AL27">
        <f t="shared" si="7"/>
        <v>0</v>
      </c>
      <c r="AM27">
        <f t="shared" si="8"/>
        <v>1632</v>
      </c>
      <c r="AO27">
        <f t="shared" si="14"/>
        <v>0</v>
      </c>
      <c r="AP27">
        <f t="shared" si="15"/>
        <v>0</v>
      </c>
      <c r="AQ27">
        <f t="shared" si="16"/>
        <v>0</v>
      </c>
      <c r="AR27">
        <f t="shared" si="17"/>
        <v>1632</v>
      </c>
    </row>
    <row r="28" spans="2:44" x14ac:dyDescent="0.25">
      <c r="B28" t="s">
        <v>105</v>
      </c>
      <c r="C28" t="s">
        <v>109</v>
      </c>
      <c r="E28" t="s">
        <v>42</v>
      </c>
      <c r="F28">
        <f t="shared" si="9"/>
        <v>6</v>
      </c>
      <c r="G28">
        <f t="shared" si="10"/>
        <v>0</v>
      </c>
      <c r="H28" t="s">
        <v>120</v>
      </c>
      <c r="I28">
        <v>6</v>
      </c>
      <c r="K28" t="s">
        <v>108</v>
      </c>
      <c r="L28" t="s">
        <v>55</v>
      </c>
      <c r="M28" s="5">
        <v>0</v>
      </c>
      <c r="N28" s="4" t="s">
        <v>36</v>
      </c>
      <c r="P28" s="44">
        <v>0</v>
      </c>
      <c r="Q28" s="1">
        <v>0</v>
      </c>
      <c r="R28">
        <v>0</v>
      </c>
      <c r="S28" s="6" t="s">
        <v>42</v>
      </c>
      <c r="T28" s="61">
        <v>4</v>
      </c>
      <c r="U28" s="61">
        <f t="shared" si="11"/>
        <v>0</v>
      </c>
      <c r="V28" s="7" t="str">
        <f t="shared" si="18"/>
        <v>NONE</v>
      </c>
      <c r="W28" s="56"/>
      <c r="X28" s="5"/>
      <c r="Y28" s="1">
        <f t="shared" ref="Y28:Y72" si="19">R28+Q28</f>
        <v>0</v>
      </c>
      <c r="Z28" s="1"/>
      <c r="AA28" s="1">
        <f t="shared" si="2"/>
        <v>0</v>
      </c>
      <c r="AB28" s="1">
        <v>130</v>
      </c>
      <c r="AC28" s="1"/>
      <c r="AD28">
        <f t="shared" si="12"/>
        <v>-130</v>
      </c>
      <c r="AE28" s="1"/>
      <c r="AF28" s="1">
        <f t="shared" si="13"/>
        <v>0</v>
      </c>
      <c r="AG28" s="1">
        <f t="shared" si="3"/>
        <v>0</v>
      </c>
      <c r="AH28" s="1">
        <f t="shared" si="4"/>
        <v>-130</v>
      </c>
      <c r="AJ28">
        <f t="shared" si="5"/>
        <v>0</v>
      </c>
      <c r="AK28">
        <f t="shared" si="6"/>
        <v>0</v>
      </c>
      <c r="AL28">
        <f t="shared" si="7"/>
        <v>0</v>
      </c>
      <c r="AM28">
        <f t="shared" si="8"/>
        <v>0</v>
      </c>
      <c r="AO28">
        <f t="shared" si="14"/>
        <v>0</v>
      </c>
      <c r="AP28">
        <f t="shared" si="15"/>
        <v>0</v>
      </c>
      <c r="AQ28">
        <f t="shared" si="16"/>
        <v>0</v>
      </c>
      <c r="AR28">
        <f t="shared" si="17"/>
        <v>0</v>
      </c>
    </row>
    <row r="29" spans="2:44" x14ac:dyDescent="0.25">
      <c r="B29" t="s">
        <v>82</v>
      </c>
      <c r="C29" s="8" t="s">
        <v>41</v>
      </c>
      <c r="D29" s="8"/>
      <c r="E29" t="s">
        <v>42</v>
      </c>
      <c r="F29">
        <f t="shared" si="9"/>
        <v>2</v>
      </c>
      <c r="G29">
        <f t="shared" si="10"/>
        <v>0</v>
      </c>
      <c r="H29" t="s">
        <v>128</v>
      </c>
      <c r="I29">
        <v>2</v>
      </c>
      <c r="K29" t="s">
        <v>93</v>
      </c>
      <c r="L29" t="s">
        <v>55</v>
      </c>
      <c r="M29" s="5">
        <v>0</v>
      </c>
      <c r="N29" s="4" t="s">
        <v>36</v>
      </c>
      <c r="P29" s="44"/>
      <c r="Q29" s="1"/>
      <c r="S29" s="6"/>
      <c r="T29" s="61">
        <v>4</v>
      </c>
      <c r="U29" s="61">
        <f t="shared" si="11"/>
        <v>0</v>
      </c>
      <c r="V29" s="7" t="str">
        <f t="shared" si="18"/>
        <v>NONE</v>
      </c>
      <c r="W29" s="56"/>
      <c r="X29" s="5"/>
      <c r="Y29" s="1">
        <f t="shared" si="19"/>
        <v>0</v>
      </c>
      <c r="Z29" s="1"/>
      <c r="AA29" s="1">
        <f t="shared" si="2"/>
        <v>0</v>
      </c>
      <c r="AB29" s="1">
        <v>130</v>
      </c>
      <c r="AC29" s="1"/>
      <c r="AD29">
        <f t="shared" si="12"/>
        <v>-130</v>
      </c>
      <c r="AE29" s="1"/>
      <c r="AF29" s="1">
        <f t="shared" si="13"/>
        <v>0</v>
      </c>
      <c r="AG29" s="1">
        <f t="shared" si="3"/>
        <v>0</v>
      </c>
      <c r="AH29" s="1">
        <f t="shared" si="4"/>
        <v>-130</v>
      </c>
      <c r="AJ29">
        <f t="shared" si="5"/>
        <v>0</v>
      </c>
      <c r="AK29">
        <f t="shared" si="6"/>
        <v>0</v>
      </c>
      <c r="AL29">
        <f t="shared" si="7"/>
        <v>0</v>
      </c>
      <c r="AM29">
        <f t="shared" si="8"/>
        <v>0</v>
      </c>
      <c r="AO29">
        <f t="shared" si="14"/>
        <v>0</v>
      </c>
      <c r="AP29">
        <f t="shared" si="15"/>
        <v>0</v>
      </c>
      <c r="AQ29">
        <f t="shared" si="16"/>
        <v>0</v>
      </c>
      <c r="AR29">
        <f t="shared" si="17"/>
        <v>0</v>
      </c>
    </row>
    <row r="30" spans="2:44" x14ac:dyDescent="0.25">
      <c r="B30" t="s">
        <v>100</v>
      </c>
      <c r="C30" t="s">
        <v>101</v>
      </c>
      <c r="E30" t="s">
        <v>61</v>
      </c>
      <c r="F30">
        <f t="shared" si="9"/>
        <v>0</v>
      </c>
      <c r="G30">
        <f t="shared" si="10"/>
        <v>1</v>
      </c>
      <c r="H30" t="s">
        <v>102</v>
      </c>
      <c r="I30">
        <v>7</v>
      </c>
      <c r="K30" t="s">
        <v>103</v>
      </c>
      <c r="L30" t="s">
        <v>55</v>
      </c>
      <c r="M30" s="5">
        <v>0</v>
      </c>
      <c r="N30" s="4" t="s">
        <v>36</v>
      </c>
      <c r="P30" s="44">
        <v>1431</v>
      </c>
      <c r="Q30" s="1">
        <v>544</v>
      </c>
      <c r="R30">
        <f>(P30+500)-Q30</f>
        <v>1387</v>
      </c>
      <c r="S30" s="6" t="s">
        <v>104</v>
      </c>
      <c r="T30" s="61">
        <v>4</v>
      </c>
      <c r="U30" s="61">
        <f t="shared" si="11"/>
        <v>75.308999999999997</v>
      </c>
      <c r="V30" s="7" t="str">
        <f t="shared" si="18"/>
        <v>PAYPAL</v>
      </c>
      <c r="W30" s="56">
        <v>2</v>
      </c>
      <c r="X30" t="s">
        <v>163</v>
      </c>
      <c r="Y30" s="1">
        <f t="shared" si="19"/>
        <v>1931</v>
      </c>
      <c r="Z30" s="1"/>
      <c r="AA30" s="1">
        <f t="shared" si="2"/>
        <v>0</v>
      </c>
      <c r="AB30" s="1">
        <v>130</v>
      </c>
      <c r="AC30" s="1"/>
      <c r="AD30">
        <f t="shared" si="12"/>
        <v>1301</v>
      </c>
      <c r="AE30" s="1"/>
      <c r="AF30" s="1">
        <f t="shared" si="13"/>
        <v>30</v>
      </c>
      <c r="AG30" s="1">
        <f t="shared" si="3"/>
        <v>1271</v>
      </c>
      <c r="AH30" s="1">
        <f t="shared" si="4"/>
        <v>1271</v>
      </c>
      <c r="AJ30">
        <f t="shared" si="5"/>
        <v>0</v>
      </c>
      <c r="AK30">
        <f t="shared" si="6"/>
        <v>0</v>
      </c>
      <c r="AL30">
        <f t="shared" si="7"/>
        <v>0</v>
      </c>
      <c r="AM30">
        <f t="shared" si="8"/>
        <v>1431</v>
      </c>
      <c r="AO30">
        <f t="shared" si="14"/>
        <v>0</v>
      </c>
      <c r="AP30">
        <f t="shared" si="15"/>
        <v>0</v>
      </c>
      <c r="AQ30">
        <f t="shared" si="16"/>
        <v>0</v>
      </c>
      <c r="AR30">
        <f t="shared" si="17"/>
        <v>1431</v>
      </c>
    </row>
    <row r="31" spans="2:44" x14ac:dyDescent="0.25">
      <c r="B31" t="s">
        <v>173</v>
      </c>
      <c r="C31" t="s">
        <v>172</v>
      </c>
      <c r="E31" t="s">
        <v>89</v>
      </c>
      <c r="F31">
        <f t="shared" si="9"/>
        <v>0</v>
      </c>
      <c r="H31" t="s">
        <v>178</v>
      </c>
      <c r="I31">
        <v>8</v>
      </c>
      <c r="K31" t="s">
        <v>174</v>
      </c>
      <c r="L31" t="s">
        <v>55</v>
      </c>
      <c r="M31" s="5">
        <v>0</v>
      </c>
      <c r="N31" s="4" t="s">
        <v>36</v>
      </c>
      <c r="P31" s="44">
        <v>1296</v>
      </c>
      <c r="Q31" s="1">
        <v>527</v>
      </c>
      <c r="R31">
        <f>IF(P31&gt;0,((P31+500)-Q31),0)</f>
        <v>1269</v>
      </c>
      <c r="S31" s="6" t="s">
        <v>156</v>
      </c>
      <c r="T31" s="61">
        <v>4</v>
      </c>
      <c r="U31" s="61">
        <f t="shared" si="11"/>
        <v>70.043999999999997</v>
      </c>
      <c r="V31" s="7" t="str">
        <f t="shared" si="18"/>
        <v>PAYPAL</v>
      </c>
      <c r="W31" s="56">
        <v>2</v>
      </c>
      <c r="X31" s="5" t="s">
        <v>25</v>
      </c>
      <c r="Y31" s="1">
        <f t="shared" si="19"/>
        <v>1796</v>
      </c>
      <c r="Z31" s="1"/>
      <c r="AA31" s="1">
        <f t="shared" si="2"/>
        <v>0</v>
      </c>
      <c r="AB31" s="1">
        <v>130</v>
      </c>
      <c r="AC31" s="1"/>
      <c r="AD31">
        <f>P31-AB31</f>
        <v>1166</v>
      </c>
      <c r="AE31" s="1"/>
      <c r="AF31" s="1">
        <v>30</v>
      </c>
      <c r="AG31" s="1">
        <f t="shared" si="3"/>
        <v>1136</v>
      </c>
      <c r="AH31" s="1">
        <f t="shared" si="4"/>
        <v>1136</v>
      </c>
      <c r="AJ31">
        <f t="shared" si="5"/>
        <v>0</v>
      </c>
      <c r="AK31">
        <f t="shared" si="6"/>
        <v>0</v>
      </c>
      <c r="AL31">
        <f t="shared" si="7"/>
        <v>0</v>
      </c>
      <c r="AM31">
        <f t="shared" si="8"/>
        <v>1296</v>
      </c>
      <c r="AO31">
        <f t="shared" si="14"/>
        <v>0</v>
      </c>
      <c r="AP31">
        <f t="shared" si="15"/>
        <v>0</v>
      </c>
      <c r="AQ31">
        <f t="shared" si="16"/>
        <v>0</v>
      </c>
      <c r="AR31">
        <f t="shared" si="17"/>
        <v>1296</v>
      </c>
    </row>
    <row r="32" spans="2:44" x14ac:dyDescent="0.25">
      <c r="B32" s="8" t="s">
        <v>161</v>
      </c>
      <c r="C32" t="s">
        <v>154</v>
      </c>
      <c r="E32" t="s">
        <v>155</v>
      </c>
      <c r="F32">
        <f t="shared" si="9"/>
        <v>0</v>
      </c>
      <c r="G32">
        <f t="shared" si="10"/>
        <v>1</v>
      </c>
      <c r="H32" t="s">
        <v>159</v>
      </c>
      <c r="I32">
        <v>7</v>
      </c>
      <c r="K32" t="s">
        <v>63</v>
      </c>
      <c r="L32" t="s">
        <v>55</v>
      </c>
      <c r="M32" s="5">
        <v>0</v>
      </c>
      <c r="N32" s="4" t="s">
        <v>36</v>
      </c>
      <c r="P32" s="44">
        <v>1317</v>
      </c>
      <c r="Q32" s="1">
        <v>527</v>
      </c>
      <c r="R32">
        <f>IF(P32&gt;0,((P32+500)-Q32),0)</f>
        <v>1290</v>
      </c>
      <c r="S32" s="6" t="s">
        <v>156</v>
      </c>
      <c r="T32" s="61">
        <v>4</v>
      </c>
      <c r="U32" s="61">
        <f t="shared" si="11"/>
        <v>70.863</v>
      </c>
      <c r="V32" s="7" t="str">
        <f t="shared" si="18"/>
        <v>PAYPAL</v>
      </c>
      <c r="W32" s="56">
        <v>2</v>
      </c>
      <c r="X32" s="5" t="s">
        <v>25</v>
      </c>
      <c r="Y32" s="1">
        <f>R32+Q32</f>
        <v>1817</v>
      </c>
      <c r="Z32" s="1"/>
      <c r="AA32" s="1">
        <f t="shared" si="2"/>
        <v>0</v>
      </c>
      <c r="AB32" s="1">
        <v>130</v>
      </c>
      <c r="AC32" s="1"/>
      <c r="AD32">
        <f t="shared" si="12"/>
        <v>1187</v>
      </c>
      <c r="AE32" s="1"/>
      <c r="AF32" s="1">
        <f t="shared" si="13"/>
        <v>30</v>
      </c>
      <c r="AG32" s="1">
        <f t="shared" si="3"/>
        <v>1157</v>
      </c>
      <c r="AH32" s="1">
        <f t="shared" si="4"/>
        <v>1157</v>
      </c>
      <c r="AJ32">
        <f t="shared" si="5"/>
        <v>0</v>
      </c>
      <c r="AK32">
        <f t="shared" si="6"/>
        <v>0</v>
      </c>
      <c r="AL32">
        <f t="shared" si="7"/>
        <v>0</v>
      </c>
      <c r="AM32">
        <f t="shared" si="8"/>
        <v>1317</v>
      </c>
      <c r="AO32">
        <f t="shared" si="14"/>
        <v>0</v>
      </c>
      <c r="AP32">
        <f t="shared" si="15"/>
        <v>0</v>
      </c>
      <c r="AQ32">
        <f t="shared" si="16"/>
        <v>0</v>
      </c>
      <c r="AR32">
        <f t="shared" si="17"/>
        <v>1317</v>
      </c>
    </row>
    <row r="33" spans="1:45" x14ac:dyDescent="0.25">
      <c r="B33" t="s">
        <v>82</v>
      </c>
      <c r="C33" s="8" t="s">
        <v>41</v>
      </c>
      <c r="D33" s="8"/>
      <c r="E33" t="s">
        <v>42</v>
      </c>
      <c r="F33">
        <f t="shared" si="9"/>
        <v>4</v>
      </c>
      <c r="G33">
        <f t="shared" si="10"/>
        <v>0</v>
      </c>
      <c r="H33" t="s">
        <v>160</v>
      </c>
      <c r="I33">
        <v>4</v>
      </c>
      <c r="K33" t="s">
        <v>83</v>
      </c>
      <c r="L33" t="s">
        <v>55</v>
      </c>
      <c r="M33" s="5">
        <v>3</v>
      </c>
      <c r="N33" s="4" t="s">
        <v>36</v>
      </c>
      <c r="P33" s="44">
        <v>0</v>
      </c>
      <c r="Q33" s="1">
        <v>0</v>
      </c>
      <c r="R33">
        <v>0</v>
      </c>
      <c r="S33" s="6"/>
      <c r="T33" s="61">
        <v>4</v>
      </c>
      <c r="U33" s="61">
        <f t="shared" si="11"/>
        <v>0</v>
      </c>
      <c r="V33" s="7" t="str">
        <f t="shared" si="18"/>
        <v>NONE</v>
      </c>
      <c r="W33" s="56"/>
      <c r="X33" s="5"/>
      <c r="Y33" s="1">
        <f t="shared" si="19"/>
        <v>0</v>
      </c>
      <c r="Z33" s="1"/>
      <c r="AA33" s="1">
        <f t="shared" si="2"/>
        <v>0</v>
      </c>
      <c r="AB33" s="1">
        <v>130</v>
      </c>
      <c r="AC33" s="1"/>
      <c r="AD33">
        <f>P33-AB33</f>
        <v>-130</v>
      </c>
      <c r="AE33" s="1"/>
      <c r="AF33" s="1">
        <f t="shared" si="13"/>
        <v>0</v>
      </c>
      <c r="AG33" s="1">
        <f t="shared" si="3"/>
        <v>0</v>
      </c>
      <c r="AH33" s="1">
        <f t="shared" si="4"/>
        <v>-130</v>
      </c>
      <c r="AJ33">
        <f t="shared" si="5"/>
        <v>0</v>
      </c>
      <c r="AK33">
        <f t="shared" si="6"/>
        <v>0</v>
      </c>
      <c r="AL33">
        <f t="shared" si="7"/>
        <v>0</v>
      </c>
      <c r="AM33">
        <f t="shared" si="8"/>
        <v>0</v>
      </c>
      <c r="AO33">
        <f t="shared" si="14"/>
        <v>0</v>
      </c>
      <c r="AP33">
        <f t="shared" si="15"/>
        <v>0</v>
      </c>
      <c r="AQ33">
        <f t="shared" si="16"/>
        <v>0</v>
      </c>
      <c r="AR33">
        <f t="shared" si="17"/>
        <v>0</v>
      </c>
    </row>
    <row r="34" spans="1:45" x14ac:dyDescent="0.25">
      <c r="A34" s="40"/>
      <c r="B34" s="155">
        <f>COUNTIFS(E17:E33,"&lt;&gt;NA")-COUNTIFS(E17:E33,"="&amp;$E$1)</f>
        <v>12</v>
      </c>
      <c r="C34" s="140" t="s">
        <v>472</v>
      </c>
      <c r="D34" s="140"/>
      <c r="E34" s="40">
        <f>SUM(F17:F33)</f>
        <v>27</v>
      </c>
      <c r="F34" s="40"/>
      <c r="G34" s="40"/>
      <c r="H34" s="54" t="s">
        <v>215</v>
      </c>
      <c r="I34" s="53">
        <f>SUM(I17:I33)-SUM(F17:F33)</f>
        <v>113</v>
      </c>
      <c r="J34" s="53"/>
      <c r="K34" s="52">
        <f>ROUND(I34/7,0)</f>
        <v>16</v>
      </c>
      <c r="L34" s="52" t="s">
        <v>214</v>
      </c>
      <c r="M34" s="54" t="s">
        <v>216</v>
      </c>
      <c r="N34" s="123">
        <f>ROUND(AG34/K34,0)</f>
        <v>1181</v>
      </c>
      <c r="O34" s="40"/>
      <c r="P34" s="71">
        <f>SUM(P17:P33)</f>
        <v>20876</v>
      </c>
      <c r="Q34" s="43"/>
      <c r="R34" s="69">
        <f>AA34</f>
        <v>0</v>
      </c>
      <c r="S34" s="68" t="s">
        <v>254</v>
      </c>
      <c r="T34" s="101"/>
      <c r="U34" s="62"/>
      <c r="V34" s="43"/>
      <c r="W34" s="58"/>
      <c r="X34" s="41"/>
      <c r="Y34" s="43"/>
      <c r="Z34" s="43">
        <f>AA34</f>
        <v>0</v>
      </c>
      <c r="AA34" s="43">
        <f>SUM(AA17:AA33)</f>
        <v>0</v>
      </c>
      <c r="AB34" s="43">
        <f>SUM(AB17:AB33)</f>
        <v>2005</v>
      </c>
      <c r="AC34" s="43">
        <f>AB34</f>
        <v>2005</v>
      </c>
      <c r="AD34" s="40"/>
      <c r="AE34" s="43"/>
      <c r="AF34" s="43">
        <f>SUM(AF17:AF33)</f>
        <v>360</v>
      </c>
      <c r="AG34" s="43">
        <f>SUM(AG17:AG33)</f>
        <v>18901</v>
      </c>
      <c r="AH34" s="71">
        <f>SUM(AH17:AH33)</f>
        <v>18511</v>
      </c>
      <c r="AI34" s="40">
        <f>AH34</f>
        <v>18511</v>
      </c>
      <c r="AJ34" s="104">
        <f>SUM(AJ17:AJ33)</f>
        <v>0</v>
      </c>
      <c r="AK34" s="104">
        <f t="shared" ref="AK34:AR34" si="20">SUM(AK17:AK33)</f>
        <v>2656</v>
      </c>
      <c r="AL34" s="104">
        <f t="shared" si="20"/>
        <v>7508</v>
      </c>
      <c r="AM34" s="104">
        <f t="shared" si="20"/>
        <v>10712</v>
      </c>
      <c r="AN34" s="106">
        <f>SUM(AJ34:AM34)</f>
        <v>20876</v>
      </c>
      <c r="AO34" s="104">
        <f t="shared" si="20"/>
        <v>0</v>
      </c>
      <c r="AP34" s="104">
        <f t="shared" si="20"/>
        <v>2656</v>
      </c>
      <c r="AQ34" s="104">
        <f t="shared" si="20"/>
        <v>7508</v>
      </c>
      <c r="AR34" s="104">
        <f t="shared" si="20"/>
        <v>10712</v>
      </c>
      <c r="AS34" s="106">
        <f>SUM(AO34:AR34)</f>
        <v>20876</v>
      </c>
    </row>
    <row r="35" spans="1:45" ht="23.25" x14ac:dyDescent="0.35">
      <c r="A35" s="27"/>
      <c r="B35" s="25">
        <v>2011</v>
      </c>
      <c r="C35" s="26"/>
      <c r="D35" s="26"/>
      <c r="E35" s="27"/>
      <c r="F35" s="27">
        <f t="shared" si="9"/>
        <v>0</v>
      </c>
      <c r="G35" s="27"/>
      <c r="H35" s="27"/>
      <c r="I35" s="27"/>
      <c r="J35" s="27"/>
      <c r="K35" s="27"/>
      <c r="L35" s="27"/>
      <c r="M35" s="28"/>
      <c r="N35" s="29"/>
      <c r="O35" s="27"/>
      <c r="P35" s="30"/>
      <c r="Q35" s="30"/>
      <c r="R35" s="27"/>
      <c r="S35" s="31"/>
      <c r="T35" s="60"/>
      <c r="U35" s="60"/>
      <c r="V35" s="30"/>
      <c r="W35" s="59"/>
      <c r="X35" s="28"/>
      <c r="Y35" s="30"/>
      <c r="Z35" s="30"/>
      <c r="AA35" s="30"/>
      <c r="AB35" s="30"/>
      <c r="AC35" s="30"/>
      <c r="AD35" s="27"/>
      <c r="AE35" s="30"/>
      <c r="AF35" s="30"/>
      <c r="AG35" s="30"/>
      <c r="AH35" s="30"/>
      <c r="AJ35" s="96">
        <f>ROUNDUP(AJ34*0.04,0)</f>
        <v>0</v>
      </c>
      <c r="AK35" s="96">
        <f>ROUNDUP(AK34*0.04,0)</f>
        <v>107</v>
      </c>
      <c r="AL35" s="96">
        <f>ROUNDUP(AL34*0.04,0)</f>
        <v>301</v>
      </c>
      <c r="AM35" s="96">
        <f>ROUNDUP(AM34*0.04,0)</f>
        <v>429</v>
      </c>
      <c r="AN35" s="106">
        <f>SUM(AJ35:AM35)</f>
        <v>837</v>
      </c>
      <c r="AO35" s="96">
        <f>ROUNDUP(AO34*0.06,0)</f>
        <v>0</v>
      </c>
      <c r="AP35" s="96">
        <f>ROUNDUP(AP34*0.06,0)</f>
        <v>160</v>
      </c>
      <c r="AQ35" s="96">
        <f>ROUNDUP(AQ34*0.06,0)</f>
        <v>451</v>
      </c>
      <c r="AR35" s="96">
        <f>ROUNDUP(AR34*0.06,0)</f>
        <v>643</v>
      </c>
      <c r="AS35" s="106">
        <f>SUM(AO35:AR35)</f>
        <v>1254</v>
      </c>
    </row>
    <row r="36" spans="1:45" x14ac:dyDescent="0.25">
      <c r="B36" s="83" t="s">
        <v>82</v>
      </c>
      <c r="C36" s="8" t="s">
        <v>41</v>
      </c>
      <c r="D36" s="8"/>
      <c r="E36" t="s">
        <v>42</v>
      </c>
      <c r="F36">
        <f t="shared" si="9"/>
        <v>58</v>
      </c>
      <c r="G36">
        <f t="shared" ref="G36:G72" si="21">IF(F36&gt;0,0,1)</f>
        <v>0</v>
      </c>
      <c r="H36" t="s">
        <v>229</v>
      </c>
      <c r="I36">
        <v>58</v>
      </c>
      <c r="K36" t="s">
        <v>83</v>
      </c>
      <c r="L36" t="s">
        <v>55</v>
      </c>
      <c r="M36" s="5">
        <v>3</v>
      </c>
      <c r="N36" s="4" t="s">
        <v>96</v>
      </c>
      <c r="P36" s="44">
        <v>0</v>
      </c>
      <c r="Q36" s="1"/>
      <c r="R36">
        <v>0</v>
      </c>
      <c r="S36" s="6"/>
      <c r="T36" s="61">
        <v>1</v>
      </c>
      <c r="U36" s="61">
        <f t="shared" ref="U36:U70" si="22">IF(V36=$AE$2,47,IF(V36=$AE$1,((R36+Q36)*0.039),IF(V36=$AE$3,0)))</f>
        <v>0</v>
      </c>
      <c r="V36" s="7" t="str">
        <f t="shared" ref="V36:V72" si="23">IF(W36=1,$AE$2,IF(W36=2,$AE$1,IF(AND(W36&lt;&gt;1,W36&lt;&gt;20)=TRUE,$AE$3)))</f>
        <v>NONE</v>
      </c>
      <c r="W36" s="56"/>
      <c r="X36" s="5" t="s">
        <v>42</v>
      </c>
      <c r="Y36" s="1">
        <f t="shared" si="19"/>
        <v>0</v>
      </c>
      <c r="Z36" s="1"/>
      <c r="AA36" s="1">
        <f t="shared" ref="AA36:AA72" si="24">IF(X36=$AA$1,R36-500,0)</f>
        <v>0</v>
      </c>
      <c r="AB36" s="1">
        <f>390+40</f>
        <v>430</v>
      </c>
      <c r="AC36" s="1"/>
      <c r="AD36">
        <f t="shared" si="12"/>
        <v>-430</v>
      </c>
      <c r="AE36" s="1"/>
      <c r="AF36" s="1">
        <f t="shared" ref="AF36:AF72" si="25">IF(I36&gt;0,30*G36,0)</f>
        <v>0</v>
      </c>
      <c r="AG36" s="1">
        <f>IF(AH36&gt;0,AH36,0)</f>
        <v>0</v>
      </c>
      <c r="AH36" s="1">
        <f>AD36</f>
        <v>-430</v>
      </c>
      <c r="AJ36">
        <f>IF(T41=1,P36,0)</f>
        <v>0</v>
      </c>
      <c r="AK36">
        <f>IF(T41=2,P36,0)</f>
        <v>0</v>
      </c>
      <c r="AL36">
        <f>IF(T41=3,P36,0)</f>
        <v>0</v>
      </c>
      <c r="AM36">
        <f>IF(T41=4,P36,0)</f>
        <v>0</v>
      </c>
      <c r="AO36">
        <f>IF(T36=1,P36,0)</f>
        <v>0</v>
      </c>
      <c r="AP36">
        <f>IF(T36=2,P36,0)</f>
        <v>0</v>
      </c>
      <c r="AQ36">
        <f>IF(T36=3,P36,0)</f>
        <v>0</v>
      </c>
      <c r="AR36">
        <f>IF(T36=4,P36,0)</f>
        <v>0</v>
      </c>
    </row>
    <row r="37" spans="1:45" x14ac:dyDescent="0.25">
      <c r="B37" s="16" t="s">
        <v>151</v>
      </c>
      <c r="C37" t="s">
        <v>152</v>
      </c>
      <c r="E37" t="s">
        <v>89</v>
      </c>
      <c r="F37">
        <f t="shared" si="9"/>
        <v>0</v>
      </c>
      <c r="G37">
        <f t="shared" si="21"/>
        <v>1</v>
      </c>
      <c r="H37" s="8" t="s">
        <v>230</v>
      </c>
      <c r="I37">
        <v>2</v>
      </c>
      <c r="K37" t="s">
        <v>83</v>
      </c>
      <c r="L37" t="s">
        <v>55</v>
      </c>
      <c r="M37" s="5">
        <v>0</v>
      </c>
      <c r="N37" s="4" t="s">
        <v>36</v>
      </c>
      <c r="P37" s="44">
        <v>1317</v>
      </c>
      <c r="Q37" s="1">
        <v>527</v>
      </c>
      <c r="R37">
        <f>(P37+500)-Q37</f>
        <v>1290</v>
      </c>
      <c r="S37" s="6" t="s">
        <v>153</v>
      </c>
      <c r="T37" s="61">
        <v>1</v>
      </c>
      <c r="U37" s="61">
        <f t="shared" si="22"/>
        <v>70.863</v>
      </c>
      <c r="V37" s="7" t="str">
        <f t="shared" si="23"/>
        <v>PAYPAL</v>
      </c>
      <c r="W37" s="56">
        <v>2</v>
      </c>
      <c r="X37" s="5" t="s">
        <v>25</v>
      </c>
      <c r="Y37" s="1">
        <f t="shared" si="19"/>
        <v>1817</v>
      </c>
      <c r="Z37" s="1"/>
      <c r="AA37" s="1">
        <f t="shared" si="24"/>
        <v>0</v>
      </c>
      <c r="AB37" s="1">
        <f>IF(I37&gt;0,130,0)</f>
        <v>130</v>
      </c>
      <c r="AC37" s="1"/>
      <c r="AD37">
        <f t="shared" si="12"/>
        <v>1187</v>
      </c>
      <c r="AE37" s="1"/>
      <c r="AF37" s="1">
        <f t="shared" si="25"/>
        <v>30</v>
      </c>
      <c r="AG37" s="1">
        <f t="shared" ref="AG37:AG72" si="26">IF(AH37&gt;0,AH37,0)</f>
        <v>1157</v>
      </c>
      <c r="AH37" s="1">
        <f t="shared" ref="AH37:AH72" si="27">AD37-AF37</f>
        <v>1157</v>
      </c>
      <c r="AJ37">
        <f t="shared" ref="AJ37:AJ72" si="28">IF(T37=1,P37,0)</f>
        <v>1317</v>
      </c>
      <c r="AK37">
        <f t="shared" ref="AK37:AK72" si="29">IF(T37=2,P37,0)</f>
        <v>0</v>
      </c>
      <c r="AL37">
        <f t="shared" ref="AL37:AL72" si="30">IF(T37=3,P37,0)</f>
        <v>0</v>
      </c>
      <c r="AM37">
        <f t="shared" ref="AM37:AM72" si="31">IF(T37=4,P37,0)</f>
        <v>0</v>
      </c>
      <c r="AO37">
        <f t="shared" ref="AO37:AO72" si="32">IF(T37=1,P37,0)</f>
        <v>1317</v>
      </c>
      <c r="AP37">
        <f t="shared" ref="AP37:AP72" si="33">IF(T37=2,P37,0)</f>
        <v>0</v>
      </c>
      <c r="AQ37">
        <f t="shared" ref="AQ37:AQ72" si="34">IF(T37=3,P37,0)</f>
        <v>0</v>
      </c>
      <c r="AR37">
        <f t="shared" ref="AR37:AR72" si="35">IF(T37=4,P37,0)</f>
        <v>0</v>
      </c>
    </row>
    <row r="38" spans="1:45" x14ac:dyDescent="0.25">
      <c r="B38" t="s">
        <v>192</v>
      </c>
      <c r="C38" t="s">
        <v>109</v>
      </c>
      <c r="E38" t="s">
        <v>42</v>
      </c>
      <c r="F38">
        <f>IF(E38=$B$12,I38,0)</f>
        <v>4</v>
      </c>
      <c r="G38">
        <f>IF(F38&gt;0,0,1)</f>
        <v>0</v>
      </c>
      <c r="H38" t="s">
        <v>193</v>
      </c>
      <c r="I38">
        <v>4</v>
      </c>
      <c r="K38" t="s">
        <v>190</v>
      </c>
      <c r="L38" t="s">
        <v>55</v>
      </c>
      <c r="M38" s="5" t="s">
        <v>55</v>
      </c>
      <c r="N38" s="4" t="s">
        <v>191</v>
      </c>
      <c r="P38" s="44">
        <v>0</v>
      </c>
      <c r="Q38" s="1">
        <f>ROUND((P38*0.4),0)</f>
        <v>0</v>
      </c>
      <c r="R38">
        <f>IF(P38&gt;0,((P38+500)-Q38),0)</f>
        <v>0</v>
      </c>
      <c r="S38" s="6"/>
      <c r="T38" s="61">
        <v>1</v>
      </c>
      <c r="U38" s="61">
        <f t="shared" si="22"/>
        <v>0</v>
      </c>
      <c r="V38" s="7" t="str">
        <f t="shared" si="23"/>
        <v>NONE</v>
      </c>
      <c r="W38" s="56"/>
      <c r="X38" s="5"/>
      <c r="Y38" s="1">
        <f t="shared" si="19"/>
        <v>0</v>
      </c>
      <c r="Z38" s="1"/>
      <c r="AA38" s="1">
        <f t="shared" si="24"/>
        <v>0</v>
      </c>
      <c r="AB38" s="1">
        <f t="shared" ref="AB38:AB70" si="36">IF(I38&gt;0,130,0)</f>
        <v>130</v>
      </c>
      <c r="AC38" s="1"/>
      <c r="AD38">
        <f t="shared" si="12"/>
        <v>-130</v>
      </c>
      <c r="AE38" s="1"/>
      <c r="AF38" s="1">
        <f>IF(I38&gt;0,30*G38,0)</f>
        <v>0</v>
      </c>
      <c r="AG38" s="1">
        <f t="shared" si="26"/>
        <v>0</v>
      </c>
      <c r="AH38" s="1">
        <f t="shared" si="27"/>
        <v>-130</v>
      </c>
      <c r="AJ38">
        <f t="shared" si="28"/>
        <v>0</v>
      </c>
      <c r="AK38">
        <f t="shared" si="29"/>
        <v>0</v>
      </c>
      <c r="AL38">
        <f t="shared" si="30"/>
        <v>0</v>
      </c>
      <c r="AM38">
        <f t="shared" si="31"/>
        <v>0</v>
      </c>
      <c r="AO38">
        <f t="shared" si="32"/>
        <v>0</v>
      </c>
      <c r="AP38">
        <f t="shared" si="33"/>
        <v>0</v>
      </c>
      <c r="AQ38">
        <f t="shared" si="34"/>
        <v>0</v>
      </c>
      <c r="AR38">
        <f t="shared" si="35"/>
        <v>0</v>
      </c>
    </row>
    <row r="39" spans="1:45" x14ac:dyDescent="0.25">
      <c r="B39" s="16" t="s">
        <v>85</v>
      </c>
      <c r="C39" t="s">
        <v>259</v>
      </c>
      <c r="E39" t="s">
        <v>30</v>
      </c>
      <c r="F39">
        <f t="shared" si="9"/>
        <v>0</v>
      </c>
      <c r="G39">
        <f t="shared" si="21"/>
        <v>1</v>
      </c>
      <c r="H39" t="s">
        <v>231</v>
      </c>
      <c r="I39">
        <v>7</v>
      </c>
      <c r="K39" t="s">
        <v>35</v>
      </c>
      <c r="L39" t="s">
        <v>55</v>
      </c>
      <c r="M39" s="5">
        <v>0</v>
      </c>
      <c r="N39" s="4" t="s">
        <v>36</v>
      </c>
      <c r="P39" s="44">
        <v>1580</v>
      </c>
      <c r="Q39" s="1">
        <f>P39*0.4</f>
        <v>632</v>
      </c>
      <c r="R39">
        <v>1548</v>
      </c>
      <c r="S39" s="6" t="s">
        <v>86</v>
      </c>
      <c r="T39" s="61">
        <v>1</v>
      </c>
      <c r="U39" s="61">
        <f t="shared" si="22"/>
        <v>85.02</v>
      </c>
      <c r="V39" s="7" t="str">
        <f t="shared" si="23"/>
        <v>PAYPAL</v>
      </c>
      <c r="W39" s="56">
        <v>2</v>
      </c>
      <c r="X39" t="s">
        <v>260</v>
      </c>
      <c r="Y39" s="1">
        <f t="shared" si="19"/>
        <v>2180</v>
      </c>
      <c r="Z39" s="1"/>
      <c r="AA39" s="1">
        <f t="shared" si="24"/>
        <v>0</v>
      </c>
      <c r="AB39" s="1">
        <f t="shared" si="36"/>
        <v>130</v>
      </c>
      <c r="AC39" s="1"/>
      <c r="AD39">
        <f>P39-AB39</f>
        <v>1450</v>
      </c>
      <c r="AE39" s="1"/>
      <c r="AF39" s="1">
        <f t="shared" si="25"/>
        <v>30</v>
      </c>
      <c r="AG39" s="1">
        <f t="shared" si="26"/>
        <v>1420</v>
      </c>
      <c r="AH39" s="1">
        <f t="shared" si="27"/>
        <v>1420</v>
      </c>
      <c r="AJ39">
        <f t="shared" si="28"/>
        <v>1580</v>
      </c>
      <c r="AK39">
        <f t="shared" si="29"/>
        <v>0</v>
      </c>
      <c r="AL39">
        <f t="shared" si="30"/>
        <v>0</v>
      </c>
      <c r="AM39">
        <f t="shared" si="31"/>
        <v>0</v>
      </c>
      <c r="AO39">
        <f t="shared" si="32"/>
        <v>1580</v>
      </c>
      <c r="AP39">
        <f t="shared" si="33"/>
        <v>0</v>
      </c>
      <c r="AQ39">
        <f t="shared" si="34"/>
        <v>0</v>
      </c>
      <c r="AR39">
        <f t="shared" si="35"/>
        <v>0</v>
      </c>
    </row>
    <row r="40" spans="1:45" x14ac:dyDescent="0.25">
      <c r="B40" s="8" t="s">
        <v>175</v>
      </c>
      <c r="C40" t="s">
        <v>176</v>
      </c>
      <c r="E40" t="s">
        <v>30</v>
      </c>
      <c r="F40">
        <f t="shared" si="9"/>
        <v>0</v>
      </c>
      <c r="G40">
        <f t="shared" si="21"/>
        <v>1</v>
      </c>
      <c r="H40" t="s">
        <v>177</v>
      </c>
      <c r="I40">
        <v>6</v>
      </c>
      <c r="K40" t="s">
        <v>108</v>
      </c>
      <c r="L40" t="s">
        <v>55</v>
      </c>
      <c r="M40" s="5">
        <v>0</v>
      </c>
      <c r="N40" s="4" t="s">
        <v>36</v>
      </c>
      <c r="P40" s="44">
        <v>1000</v>
      </c>
      <c r="Q40" s="1">
        <f>P40*0.4</f>
        <v>400</v>
      </c>
      <c r="R40">
        <f>(P40+500)-Q40</f>
        <v>1100</v>
      </c>
      <c r="S40" s="6" t="s">
        <v>156</v>
      </c>
      <c r="T40" s="61">
        <v>1</v>
      </c>
      <c r="U40" s="61">
        <f t="shared" si="22"/>
        <v>47</v>
      </c>
      <c r="V40" s="7" t="str">
        <f t="shared" si="23"/>
        <v>BANK</v>
      </c>
      <c r="W40" s="56">
        <v>1</v>
      </c>
      <c r="X40" s="5" t="s">
        <v>25</v>
      </c>
      <c r="Y40" s="1">
        <f>R40+Q40</f>
        <v>1500</v>
      </c>
      <c r="Z40" s="1"/>
      <c r="AA40" s="1">
        <f t="shared" si="24"/>
        <v>0</v>
      </c>
      <c r="AB40" s="1">
        <f t="shared" si="36"/>
        <v>130</v>
      </c>
      <c r="AC40" s="1"/>
      <c r="AD40">
        <f>P40-AB40</f>
        <v>870</v>
      </c>
      <c r="AE40" s="1"/>
      <c r="AF40" s="1">
        <f>IF(I40&gt;0,30*G40,0)</f>
        <v>30</v>
      </c>
      <c r="AG40" s="1">
        <f t="shared" si="26"/>
        <v>840</v>
      </c>
      <c r="AH40" s="1">
        <f t="shared" si="27"/>
        <v>840</v>
      </c>
      <c r="AJ40">
        <f t="shared" si="28"/>
        <v>1000</v>
      </c>
      <c r="AK40">
        <f t="shared" si="29"/>
        <v>0</v>
      </c>
      <c r="AL40">
        <f t="shared" si="30"/>
        <v>0</v>
      </c>
      <c r="AM40">
        <f t="shared" si="31"/>
        <v>0</v>
      </c>
      <c r="AO40">
        <f t="shared" si="32"/>
        <v>1000</v>
      </c>
      <c r="AP40">
        <f t="shared" si="33"/>
        <v>0</v>
      </c>
      <c r="AQ40">
        <f t="shared" si="34"/>
        <v>0</v>
      </c>
      <c r="AR40">
        <f t="shared" si="35"/>
        <v>0</v>
      </c>
    </row>
    <row r="41" spans="1:45" x14ac:dyDescent="0.25">
      <c r="B41" s="83" t="s">
        <v>84</v>
      </c>
      <c r="C41" s="8" t="s">
        <v>41</v>
      </c>
      <c r="D41" s="8"/>
      <c r="E41" t="s">
        <v>42</v>
      </c>
      <c r="F41">
        <f t="shared" si="9"/>
        <v>3</v>
      </c>
      <c r="G41">
        <f t="shared" si="21"/>
        <v>0</v>
      </c>
      <c r="H41" t="s">
        <v>232</v>
      </c>
      <c r="I41">
        <v>3</v>
      </c>
      <c r="K41" t="s">
        <v>93</v>
      </c>
      <c r="L41" t="s">
        <v>55</v>
      </c>
      <c r="M41" s="5">
        <v>0</v>
      </c>
      <c r="N41" s="4" t="s">
        <v>36</v>
      </c>
      <c r="P41" s="44">
        <v>0</v>
      </c>
      <c r="Q41" s="1">
        <v>0</v>
      </c>
      <c r="R41">
        <v>0</v>
      </c>
      <c r="S41" s="6"/>
      <c r="T41" s="61">
        <v>1</v>
      </c>
      <c r="U41" s="61">
        <f t="shared" si="22"/>
        <v>0</v>
      </c>
      <c r="V41" s="7" t="str">
        <f t="shared" si="23"/>
        <v>NONE</v>
      </c>
      <c r="W41" s="56"/>
      <c r="X41" s="5" t="s">
        <v>42</v>
      </c>
      <c r="Y41" s="1">
        <f t="shared" si="19"/>
        <v>0</v>
      </c>
      <c r="Z41" s="1"/>
      <c r="AA41" s="1">
        <f t="shared" si="24"/>
        <v>0</v>
      </c>
      <c r="AB41" s="1">
        <f t="shared" si="36"/>
        <v>130</v>
      </c>
      <c r="AC41" s="1"/>
      <c r="AD41">
        <f t="shared" si="12"/>
        <v>-130</v>
      </c>
      <c r="AE41" s="1"/>
      <c r="AF41" s="1">
        <f t="shared" si="25"/>
        <v>0</v>
      </c>
      <c r="AG41" s="1">
        <f t="shared" si="26"/>
        <v>0</v>
      </c>
      <c r="AH41" s="1">
        <f t="shared" si="27"/>
        <v>-130</v>
      </c>
      <c r="AJ41">
        <f>IF(T41=1,P41,0)</f>
        <v>0</v>
      </c>
      <c r="AK41">
        <f>IF(T41=2,P41,0)</f>
        <v>0</v>
      </c>
      <c r="AL41">
        <f>IF(T41=3,P41,0)</f>
        <v>0</v>
      </c>
      <c r="AM41">
        <f>IF(T41=4,P41,0)</f>
        <v>0</v>
      </c>
      <c r="AO41">
        <f t="shared" si="32"/>
        <v>0</v>
      </c>
      <c r="AP41">
        <f t="shared" si="33"/>
        <v>0</v>
      </c>
      <c r="AQ41">
        <f t="shared" si="34"/>
        <v>0</v>
      </c>
      <c r="AR41">
        <f t="shared" si="35"/>
        <v>0</v>
      </c>
    </row>
    <row r="42" spans="1:45" x14ac:dyDescent="0.25">
      <c r="B42" t="s">
        <v>68</v>
      </c>
      <c r="C42" t="s">
        <v>69</v>
      </c>
      <c r="E42" t="s">
        <v>30</v>
      </c>
      <c r="F42">
        <f t="shared" si="9"/>
        <v>0</v>
      </c>
      <c r="G42">
        <f t="shared" si="21"/>
        <v>1</v>
      </c>
      <c r="H42" t="s">
        <v>233</v>
      </c>
      <c r="I42">
        <v>14</v>
      </c>
      <c r="K42" t="s">
        <v>35</v>
      </c>
      <c r="L42" t="s">
        <v>55</v>
      </c>
      <c r="M42" s="5">
        <v>0</v>
      </c>
      <c r="N42" s="4" t="s">
        <v>36</v>
      </c>
      <c r="P42" s="44">
        <f>3695-500</f>
        <v>3195</v>
      </c>
      <c r="Q42" s="1">
        <f>P42*0.4</f>
        <v>1278</v>
      </c>
      <c r="R42">
        <f>(P42+500)-Q42</f>
        <v>2417</v>
      </c>
      <c r="S42" s="6" t="s">
        <v>70</v>
      </c>
      <c r="T42" s="61">
        <v>1</v>
      </c>
      <c r="U42" s="61">
        <f t="shared" si="22"/>
        <v>0</v>
      </c>
      <c r="V42" s="7" t="str">
        <f t="shared" si="23"/>
        <v>NONE</v>
      </c>
      <c r="W42" s="56"/>
      <c r="X42" s="5" t="s">
        <v>260</v>
      </c>
      <c r="Y42" s="1">
        <f t="shared" si="19"/>
        <v>3695</v>
      </c>
      <c r="Z42" s="1"/>
      <c r="AA42" s="1">
        <f t="shared" si="24"/>
        <v>0</v>
      </c>
      <c r="AB42" s="1">
        <f t="shared" si="36"/>
        <v>130</v>
      </c>
      <c r="AC42" s="1"/>
      <c r="AD42">
        <f t="shared" si="12"/>
        <v>3065</v>
      </c>
      <c r="AE42" s="1"/>
      <c r="AF42" s="1">
        <f t="shared" si="25"/>
        <v>30</v>
      </c>
      <c r="AG42" s="1">
        <f t="shared" si="26"/>
        <v>3035</v>
      </c>
      <c r="AH42" s="1">
        <f t="shared" si="27"/>
        <v>3035</v>
      </c>
      <c r="AJ42">
        <f t="shared" si="28"/>
        <v>3195</v>
      </c>
      <c r="AK42">
        <f t="shared" si="29"/>
        <v>0</v>
      </c>
      <c r="AL42">
        <f t="shared" si="30"/>
        <v>0</v>
      </c>
      <c r="AM42">
        <f t="shared" si="31"/>
        <v>0</v>
      </c>
      <c r="AO42">
        <f t="shared" si="32"/>
        <v>3195</v>
      </c>
      <c r="AP42">
        <f t="shared" si="33"/>
        <v>0</v>
      </c>
      <c r="AQ42">
        <f t="shared" si="34"/>
        <v>0</v>
      </c>
      <c r="AR42">
        <f t="shared" si="35"/>
        <v>0</v>
      </c>
    </row>
    <row r="43" spans="1:45" x14ac:dyDescent="0.25">
      <c r="B43" s="83" t="s">
        <v>82</v>
      </c>
      <c r="C43" s="8" t="s">
        <v>41</v>
      </c>
      <c r="D43" s="8"/>
      <c r="E43" t="s">
        <v>42</v>
      </c>
      <c r="F43">
        <f t="shared" si="9"/>
        <v>7</v>
      </c>
      <c r="G43">
        <f t="shared" si="21"/>
        <v>0</v>
      </c>
      <c r="H43" t="s">
        <v>234</v>
      </c>
      <c r="I43">
        <v>7</v>
      </c>
      <c r="K43" t="s">
        <v>83</v>
      </c>
      <c r="L43" t="s">
        <v>55</v>
      </c>
      <c r="M43" s="5">
        <v>3</v>
      </c>
      <c r="N43" s="4" t="s">
        <v>36</v>
      </c>
      <c r="P43" s="44">
        <v>0</v>
      </c>
      <c r="Q43" s="1">
        <v>0</v>
      </c>
      <c r="R43">
        <v>0</v>
      </c>
      <c r="S43" s="6"/>
      <c r="T43" s="61">
        <v>2</v>
      </c>
      <c r="U43" s="61">
        <f t="shared" si="22"/>
        <v>0</v>
      </c>
      <c r="V43" s="7" t="str">
        <f t="shared" si="23"/>
        <v>NONE</v>
      </c>
      <c r="W43" s="56"/>
      <c r="X43" s="5" t="s">
        <v>42</v>
      </c>
      <c r="Y43" s="1">
        <f t="shared" si="19"/>
        <v>0</v>
      </c>
      <c r="Z43" s="1"/>
      <c r="AA43" s="1">
        <f t="shared" si="24"/>
        <v>0</v>
      </c>
      <c r="AB43" s="1">
        <f t="shared" si="36"/>
        <v>130</v>
      </c>
      <c r="AC43" s="1"/>
      <c r="AD43">
        <f t="shared" si="12"/>
        <v>-130</v>
      </c>
      <c r="AE43" s="1"/>
      <c r="AF43" s="1">
        <f t="shared" si="25"/>
        <v>0</v>
      </c>
      <c r="AG43" s="1">
        <f t="shared" si="26"/>
        <v>0</v>
      </c>
      <c r="AH43" s="1">
        <f t="shared" si="27"/>
        <v>-130</v>
      </c>
      <c r="AJ43">
        <f t="shared" si="28"/>
        <v>0</v>
      </c>
      <c r="AK43">
        <f t="shared" si="29"/>
        <v>0</v>
      </c>
      <c r="AL43">
        <f t="shared" si="30"/>
        <v>0</v>
      </c>
      <c r="AM43">
        <f t="shared" si="31"/>
        <v>0</v>
      </c>
      <c r="AO43">
        <f t="shared" si="32"/>
        <v>0</v>
      </c>
      <c r="AP43">
        <f t="shared" si="33"/>
        <v>0</v>
      </c>
      <c r="AQ43">
        <f t="shared" si="34"/>
        <v>0</v>
      </c>
      <c r="AR43">
        <f t="shared" si="35"/>
        <v>0</v>
      </c>
    </row>
    <row r="44" spans="1:45" x14ac:dyDescent="0.25">
      <c r="B44" s="8" t="s">
        <v>51</v>
      </c>
      <c r="C44" t="s">
        <v>50</v>
      </c>
      <c r="E44" t="s">
        <v>30</v>
      </c>
      <c r="F44">
        <f t="shared" si="9"/>
        <v>0</v>
      </c>
      <c r="G44">
        <f t="shared" si="21"/>
        <v>1</v>
      </c>
      <c r="H44" t="s">
        <v>235</v>
      </c>
      <c r="I44">
        <v>7</v>
      </c>
      <c r="K44" t="s">
        <v>35</v>
      </c>
      <c r="L44" t="s">
        <v>57</v>
      </c>
      <c r="M44" s="5">
        <v>0</v>
      </c>
      <c r="N44" s="4" t="s">
        <v>36</v>
      </c>
      <c r="P44" s="44">
        <f>1600+125+67.28</f>
        <v>1792.28</v>
      </c>
      <c r="Q44" s="1">
        <f>P44*0.4</f>
        <v>716.91200000000003</v>
      </c>
      <c r="R44">
        <f>(P44+500)-Q44</f>
        <v>1575.3679999999997</v>
      </c>
      <c r="S44" s="6" t="s">
        <v>43</v>
      </c>
      <c r="T44" s="61">
        <v>2</v>
      </c>
      <c r="U44" s="61">
        <f t="shared" si="22"/>
        <v>89.39891999999999</v>
      </c>
      <c r="V44" s="7" t="str">
        <f t="shared" si="23"/>
        <v>PAYPAL</v>
      </c>
      <c r="W44" s="56">
        <v>2</v>
      </c>
      <c r="X44" s="5" t="s">
        <v>260</v>
      </c>
      <c r="Y44" s="1">
        <f t="shared" si="19"/>
        <v>2292.2799999999997</v>
      </c>
      <c r="Z44" s="1"/>
      <c r="AA44" s="1">
        <f t="shared" si="24"/>
        <v>0</v>
      </c>
      <c r="AB44" s="1">
        <f t="shared" si="36"/>
        <v>130</v>
      </c>
      <c r="AC44" s="1"/>
      <c r="AD44">
        <f>P44-AB44</f>
        <v>1662.28</v>
      </c>
      <c r="AE44" s="1"/>
      <c r="AF44" s="1">
        <f t="shared" si="25"/>
        <v>30</v>
      </c>
      <c r="AG44" s="1">
        <f t="shared" si="26"/>
        <v>1632.28</v>
      </c>
      <c r="AH44" s="1">
        <f t="shared" si="27"/>
        <v>1632.28</v>
      </c>
      <c r="AJ44">
        <f t="shared" si="28"/>
        <v>0</v>
      </c>
      <c r="AK44">
        <f t="shared" si="29"/>
        <v>1792.28</v>
      </c>
      <c r="AL44">
        <f t="shared" si="30"/>
        <v>0</v>
      </c>
      <c r="AM44">
        <f t="shared" si="31"/>
        <v>0</v>
      </c>
      <c r="AO44">
        <f t="shared" si="32"/>
        <v>0</v>
      </c>
      <c r="AP44">
        <f t="shared" si="33"/>
        <v>1792.28</v>
      </c>
      <c r="AQ44">
        <f t="shared" si="34"/>
        <v>0</v>
      </c>
      <c r="AR44">
        <f t="shared" si="35"/>
        <v>0</v>
      </c>
    </row>
    <row r="45" spans="1:45" ht="15.75" x14ac:dyDescent="0.25">
      <c r="B45" s="16" t="s">
        <v>99</v>
      </c>
      <c r="C45" t="s">
        <v>97</v>
      </c>
      <c r="E45" t="s">
        <v>89</v>
      </c>
      <c r="F45">
        <f t="shared" si="9"/>
        <v>0</v>
      </c>
      <c r="G45">
        <f t="shared" si="21"/>
        <v>1</v>
      </c>
      <c r="H45" t="s">
        <v>236</v>
      </c>
      <c r="I45">
        <v>7</v>
      </c>
      <c r="K45" t="s">
        <v>98</v>
      </c>
      <c r="L45" t="s">
        <v>55</v>
      </c>
      <c r="M45" s="5">
        <v>0</v>
      </c>
      <c r="N45" s="15" t="s">
        <v>107</v>
      </c>
      <c r="P45" s="45">
        <v>1847</v>
      </c>
      <c r="Q45">
        <f>(P45+500)*0.4</f>
        <v>938.80000000000007</v>
      </c>
      <c r="R45">
        <f>(P45+500)-Q45</f>
        <v>1408.1999999999998</v>
      </c>
      <c r="S45" s="1" t="s">
        <v>106</v>
      </c>
      <c r="T45" s="61">
        <v>2</v>
      </c>
      <c r="U45" s="61">
        <f t="shared" si="22"/>
        <v>91.533000000000001</v>
      </c>
      <c r="V45" s="7" t="str">
        <f t="shared" si="23"/>
        <v>PAYPAL</v>
      </c>
      <c r="W45" s="56">
        <v>2</v>
      </c>
      <c r="X45" s="5" t="s">
        <v>279</v>
      </c>
      <c r="Y45" s="1">
        <f t="shared" si="19"/>
        <v>2347</v>
      </c>
      <c r="Z45" s="1"/>
      <c r="AA45" s="1">
        <f t="shared" si="24"/>
        <v>0</v>
      </c>
      <c r="AB45" s="1">
        <f t="shared" si="36"/>
        <v>130</v>
      </c>
      <c r="AC45" s="1"/>
      <c r="AD45">
        <f t="shared" si="12"/>
        <v>1717</v>
      </c>
      <c r="AF45" s="1">
        <f t="shared" si="25"/>
        <v>30</v>
      </c>
      <c r="AG45" s="1">
        <f t="shared" si="26"/>
        <v>1687</v>
      </c>
      <c r="AH45" s="1">
        <f t="shared" si="27"/>
        <v>1687</v>
      </c>
      <c r="AJ45">
        <f t="shared" si="28"/>
        <v>0</v>
      </c>
      <c r="AK45">
        <f t="shared" si="29"/>
        <v>1847</v>
      </c>
      <c r="AL45">
        <f t="shared" si="30"/>
        <v>0</v>
      </c>
      <c r="AM45">
        <f t="shared" si="31"/>
        <v>0</v>
      </c>
      <c r="AO45">
        <f t="shared" si="32"/>
        <v>0</v>
      </c>
      <c r="AP45">
        <f t="shared" si="33"/>
        <v>1847</v>
      </c>
      <c r="AQ45">
        <f t="shared" si="34"/>
        <v>0</v>
      </c>
      <c r="AR45">
        <f t="shared" si="35"/>
        <v>0</v>
      </c>
    </row>
    <row r="46" spans="1:45" ht="15.75" x14ac:dyDescent="0.25">
      <c r="B46" t="s">
        <v>157</v>
      </c>
      <c r="C46" t="s">
        <v>158</v>
      </c>
      <c r="E46" t="s">
        <v>30</v>
      </c>
      <c r="F46">
        <f t="shared" si="9"/>
        <v>0</v>
      </c>
      <c r="G46">
        <f t="shared" si="21"/>
        <v>1</v>
      </c>
      <c r="H46" t="s">
        <v>237</v>
      </c>
      <c r="I46">
        <v>20</v>
      </c>
      <c r="K46" t="s">
        <v>257</v>
      </c>
      <c r="L46" t="s">
        <v>55</v>
      </c>
      <c r="M46" s="5">
        <v>0</v>
      </c>
      <c r="N46" s="15" t="s">
        <v>228</v>
      </c>
      <c r="P46" s="44">
        <f>3897+47</f>
        <v>3944</v>
      </c>
      <c r="Q46">
        <v>1778</v>
      </c>
      <c r="R46">
        <f>IF(P46&gt;0,((P46+500)-Q46),0)</f>
        <v>2666</v>
      </c>
      <c r="S46" s="6" t="s">
        <v>164</v>
      </c>
      <c r="T46" s="61">
        <v>2</v>
      </c>
      <c r="U46" s="61">
        <f t="shared" si="22"/>
        <v>47</v>
      </c>
      <c r="V46" s="7" t="str">
        <f t="shared" si="23"/>
        <v>BANK</v>
      </c>
      <c r="W46" s="56">
        <v>1</v>
      </c>
      <c r="X46" s="5" t="s">
        <v>162</v>
      </c>
      <c r="Y46" s="1">
        <f t="shared" si="19"/>
        <v>4444</v>
      </c>
      <c r="Z46" s="1"/>
      <c r="AA46" s="1">
        <f t="shared" si="24"/>
        <v>0</v>
      </c>
      <c r="AB46" s="1">
        <f t="shared" si="36"/>
        <v>130</v>
      </c>
      <c r="AC46" s="1"/>
      <c r="AD46">
        <f t="shared" si="12"/>
        <v>3814</v>
      </c>
      <c r="AE46" s="1"/>
      <c r="AF46" s="1">
        <f t="shared" si="25"/>
        <v>30</v>
      </c>
      <c r="AG46" s="1">
        <f t="shared" si="26"/>
        <v>3784</v>
      </c>
      <c r="AH46" s="1">
        <f t="shared" si="27"/>
        <v>3784</v>
      </c>
      <c r="AJ46">
        <f t="shared" si="28"/>
        <v>0</v>
      </c>
      <c r="AK46">
        <f t="shared" si="29"/>
        <v>3944</v>
      </c>
      <c r="AL46">
        <f t="shared" si="30"/>
        <v>0</v>
      </c>
      <c r="AM46">
        <f t="shared" si="31"/>
        <v>0</v>
      </c>
      <c r="AO46">
        <f t="shared" si="32"/>
        <v>0</v>
      </c>
      <c r="AP46">
        <f t="shared" si="33"/>
        <v>3944</v>
      </c>
      <c r="AQ46">
        <f t="shared" si="34"/>
        <v>0</v>
      </c>
      <c r="AR46">
        <f t="shared" si="35"/>
        <v>0</v>
      </c>
    </row>
    <row r="47" spans="1:45" x14ac:dyDescent="0.25">
      <c r="C47" s="8"/>
      <c r="D47" s="8"/>
      <c r="F47">
        <f>IF(E47=$B$12,I47,0)</f>
        <v>0</v>
      </c>
      <c r="G47">
        <f>IF(F47&gt;0,0,1)</f>
        <v>1</v>
      </c>
      <c r="I47">
        <v>0</v>
      </c>
      <c r="N47" s="4"/>
      <c r="P47" s="44">
        <v>0</v>
      </c>
      <c r="Q47" s="1">
        <f>ROUND((P47*0.4),0)</f>
        <v>0</v>
      </c>
      <c r="R47">
        <f>IF(P47&gt;0,((P47+500)-Q47)+U47,0)</f>
        <v>0</v>
      </c>
      <c r="S47" s="6"/>
      <c r="T47" s="61">
        <v>2</v>
      </c>
      <c r="U47" s="61">
        <f>IF(V47=$AE$2,47,IF(V47=$AE$1,ROUND(((P47+500)*0.039),0),IF(V47=$AE$3,0)))</f>
        <v>0</v>
      </c>
      <c r="V47" s="7" t="str">
        <f t="shared" si="23"/>
        <v>NONE</v>
      </c>
      <c r="W47" s="56"/>
      <c r="X47" s="5"/>
      <c r="Y47" s="61">
        <f>R47+Q47</f>
        <v>0</v>
      </c>
      <c r="Z47" s="61"/>
      <c r="AA47" s="1">
        <f t="shared" si="24"/>
        <v>0</v>
      </c>
      <c r="AB47" s="1">
        <f t="shared" si="36"/>
        <v>0</v>
      </c>
      <c r="AC47" s="1"/>
      <c r="AD47" s="65">
        <f>(P47+U47)-AB47</f>
        <v>0</v>
      </c>
      <c r="AE47" s="1"/>
      <c r="AF47" s="1">
        <f>IF(I47&gt;0,30*G47,0)</f>
        <v>0</v>
      </c>
      <c r="AG47" s="1">
        <f t="shared" si="26"/>
        <v>0</v>
      </c>
      <c r="AH47" s="1">
        <f t="shared" si="27"/>
        <v>0</v>
      </c>
      <c r="AJ47">
        <f t="shared" si="28"/>
        <v>0</v>
      </c>
      <c r="AK47">
        <f t="shared" si="29"/>
        <v>0</v>
      </c>
      <c r="AL47">
        <f t="shared" si="30"/>
        <v>0</v>
      </c>
      <c r="AM47">
        <f t="shared" si="31"/>
        <v>0</v>
      </c>
      <c r="AO47">
        <f t="shared" si="32"/>
        <v>0</v>
      </c>
      <c r="AP47">
        <f t="shared" si="33"/>
        <v>0</v>
      </c>
      <c r="AQ47">
        <f t="shared" si="34"/>
        <v>0</v>
      </c>
      <c r="AR47">
        <f t="shared" si="35"/>
        <v>0</v>
      </c>
    </row>
    <row r="48" spans="1:45" x14ac:dyDescent="0.25">
      <c r="B48" t="s">
        <v>256</v>
      </c>
      <c r="C48" t="s">
        <v>65</v>
      </c>
      <c r="E48" t="s">
        <v>30</v>
      </c>
      <c r="F48">
        <f t="shared" si="9"/>
        <v>0</v>
      </c>
      <c r="G48">
        <f t="shared" si="21"/>
        <v>1</v>
      </c>
      <c r="H48" t="s">
        <v>238</v>
      </c>
      <c r="I48">
        <v>12</v>
      </c>
      <c r="K48" t="s">
        <v>35</v>
      </c>
      <c r="L48" t="s">
        <v>55</v>
      </c>
      <c r="M48" s="5">
        <v>0</v>
      </c>
      <c r="N48" s="4" t="s">
        <v>36</v>
      </c>
      <c r="P48" s="44">
        <f>2832-500</f>
        <v>2332</v>
      </c>
      <c r="Q48" s="1">
        <v>933</v>
      </c>
      <c r="R48">
        <f>(P48+500)-Q48</f>
        <v>1899</v>
      </c>
      <c r="S48" s="6" t="s">
        <v>66</v>
      </c>
      <c r="T48" s="61">
        <v>2</v>
      </c>
      <c r="U48" s="61">
        <f t="shared" si="22"/>
        <v>110.44799999999999</v>
      </c>
      <c r="V48" s="7" t="str">
        <f t="shared" si="23"/>
        <v>PAYPAL</v>
      </c>
      <c r="W48" s="56">
        <v>2</v>
      </c>
      <c r="X48" s="5" t="s">
        <v>260</v>
      </c>
      <c r="Y48" s="1">
        <f t="shared" si="19"/>
        <v>2832</v>
      </c>
      <c r="Z48" s="1"/>
      <c r="AA48" s="1">
        <f t="shared" si="24"/>
        <v>0</v>
      </c>
      <c r="AB48" s="1">
        <f t="shared" si="36"/>
        <v>130</v>
      </c>
      <c r="AC48" s="1"/>
      <c r="AD48">
        <f t="shared" si="12"/>
        <v>2202</v>
      </c>
      <c r="AE48" s="1"/>
      <c r="AF48" s="1">
        <f t="shared" si="25"/>
        <v>30</v>
      </c>
      <c r="AG48" s="1">
        <f t="shared" si="26"/>
        <v>2172</v>
      </c>
      <c r="AH48" s="1">
        <f t="shared" si="27"/>
        <v>2172</v>
      </c>
      <c r="AJ48">
        <f t="shared" si="28"/>
        <v>0</v>
      </c>
      <c r="AK48">
        <f t="shared" si="29"/>
        <v>2332</v>
      </c>
      <c r="AL48">
        <f t="shared" si="30"/>
        <v>0</v>
      </c>
      <c r="AM48">
        <f t="shared" si="31"/>
        <v>0</v>
      </c>
      <c r="AO48">
        <f t="shared" si="32"/>
        <v>0</v>
      </c>
      <c r="AP48">
        <f t="shared" si="33"/>
        <v>2332</v>
      </c>
      <c r="AQ48">
        <f t="shared" si="34"/>
        <v>0</v>
      </c>
      <c r="AR48">
        <f t="shared" si="35"/>
        <v>0</v>
      </c>
    </row>
    <row r="49" spans="2:44" x14ac:dyDescent="0.25">
      <c r="B49" t="s">
        <v>204</v>
      </c>
      <c r="C49" t="s">
        <v>205</v>
      </c>
      <c r="E49" t="s">
        <v>30</v>
      </c>
      <c r="F49">
        <f t="shared" si="9"/>
        <v>0</v>
      </c>
      <c r="G49">
        <f t="shared" si="21"/>
        <v>1</v>
      </c>
      <c r="H49" t="s">
        <v>206</v>
      </c>
      <c r="I49">
        <v>7</v>
      </c>
      <c r="K49" t="s">
        <v>207</v>
      </c>
      <c r="L49" t="s">
        <v>55</v>
      </c>
      <c r="M49" s="5">
        <v>0</v>
      </c>
      <c r="N49" s="4" t="s">
        <v>36</v>
      </c>
      <c r="P49" s="44">
        <v>1317</v>
      </c>
      <c r="Q49" s="1">
        <f>ROUND((P49*0.4),0)</f>
        <v>527</v>
      </c>
      <c r="R49">
        <f>IF(P49&gt;0,((P49+500)-Q49),0)</f>
        <v>1290</v>
      </c>
      <c r="S49" s="38" t="s">
        <v>208</v>
      </c>
      <c r="T49" s="61">
        <v>2</v>
      </c>
      <c r="U49" s="61">
        <f t="shared" si="22"/>
        <v>70.863</v>
      </c>
      <c r="V49" s="7" t="str">
        <f t="shared" si="23"/>
        <v>PAYPAL</v>
      </c>
      <c r="W49" s="56">
        <v>2</v>
      </c>
      <c r="X49" s="51" t="s">
        <v>260</v>
      </c>
      <c r="Y49" s="1">
        <f>R49+Q49</f>
        <v>1817</v>
      </c>
      <c r="Z49" s="1"/>
      <c r="AA49" s="1">
        <f t="shared" si="24"/>
        <v>0</v>
      </c>
      <c r="AB49" s="1">
        <f t="shared" si="36"/>
        <v>130</v>
      </c>
      <c r="AC49" s="1"/>
      <c r="AD49">
        <f t="shared" si="12"/>
        <v>1187</v>
      </c>
      <c r="AE49" s="1"/>
      <c r="AF49" s="1">
        <f>IF(I49&gt;0,30*G49,0)</f>
        <v>30</v>
      </c>
      <c r="AG49" s="1">
        <f t="shared" si="26"/>
        <v>1157</v>
      </c>
      <c r="AH49" s="1">
        <f t="shared" si="27"/>
        <v>1157</v>
      </c>
      <c r="AJ49">
        <f t="shared" si="28"/>
        <v>0</v>
      </c>
      <c r="AK49">
        <f t="shared" si="29"/>
        <v>1317</v>
      </c>
      <c r="AL49">
        <f t="shared" si="30"/>
        <v>0</v>
      </c>
      <c r="AM49">
        <f t="shared" si="31"/>
        <v>0</v>
      </c>
      <c r="AO49">
        <f t="shared" si="32"/>
        <v>0</v>
      </c>
      <c r="AP49">
        <f t="shared" si="33"/>
        <v>1317</v>
      </c>
      <c r="AQ49">
        <f t="shared" si="34"/>
        <v>0</v>
      </c>
      <c r="AR49">
        <f t="shared" si="35"/>
        <v>0</v>
      </c>
    </row>
    <row r="50" spans="2:44" x14ac:dyDescent="0.25">
      <c r="B50" s="8" t="s">
        <v>169</v>
      </c>
      <c r="C50" t="s">
        <v>168</v>
      </c>
      <c r="E50" t="s">
        <v>30</v>
      </c>
      <c r="F50">
        <f>IF(E50=$B$12,I50,0)</f>
        <v>0</v>
      </c>
      <c r="G50">
        <f>IF(F50&gt;0,0,1)</f>
        <v>1</v>
      </c>
      <c r="H50" t="s">
        <v>165</v>
      </c>
      <c r="I50">
        <v>14</v>
      </c>
      <c r="K50" t="s">
        <v>166</v>
      </c>
      <c r="L50" t="s">
        <v>55</v>
      </c>
      <c r="M50" s="5">
        <v>0</v>
      </c>
      <c r="N50" s="4" t="s">
        <v>36</v>
      </c>
      <c r="P50" s="44">
        <f>3015-500</f>
        <v>2515</v>
      </c>
      <c r="Q50" s="1">
        <f>ROUND((P50*0.4),0)</f>
        <v>1006</v>
      </c>
      <c r="R50">
        <f>IF(P50&gt;0,((P50+500)-Q50),0)</f>
        <v>2009</v>
      </c>
      <c r="S50" s="6" t="s">
        <v>167</v>
      </c>
      <c r="T50" s="61">
        <v>2</v>
      </c>
      <c r="U50" s="61">
        <f t="shared" si="22"/>
        <v>117.58499999999999</v>
      </c>
      <c r="V50" s="7" t="str">
        <f t="shared" si="23"/>
        <v>PAYPAL</v>
      </c>
      <c r="W50" s="56">
        <v>2</v>
      </c>
      <c r="X50" s="5" t="s">
        <v>25</v>
      </c>
      <c r="Y50" s="1">
        <f t="shared" si="19"/>
        <v>3015</v>
      </c>
      <c r="Z50" s="1"/>
      <c r="AA50" s="1">
        <f t="shared" si="24"/>
        <v>0</v>
      </c>
      <c r="AB50" s="1">
        <f t="shared" si="36"/>
        <v>130</v>
      </c>
      <c r="AC50" s="1"/>
      <c r="AD50">
        <f t="shared" si="12"/>
        <v>2385</v>
      </c>
      <c r="AE50" s="1"/>
      <c r="AF50" s="1">
        <f>IF(I50&gt;0,30*G50,0)</f>
        <v>30</v>
      </c>
      <c r="AG50" s="1">
        <f t="shared" si="26"/>
        <v>2355</v>
      </c>
      <c r="AH50" s="1">
        <f t="shared" si="27"/>
        <v>2355</v>
      </c>
      <c r="AJ50">
        <f t="shared" si="28"/>
        <v>0</v>
      </c>
      <c r="AK50">
        <f t="shared" si="29"/>
        <v>2515</v>
      </c>
      <c r="AL50">
        <f t="shared" si="30"/>
        <v>0</v>
      </c>
      <c r="AM50">
        <f t="shared" si="31"/>
        <v>0</v>
      </c>
      <c r="AO50">
        <f t="shared" si="32"/>
        <v>0</v>
      </c>
      <c r="AP50">
        <f t="shared" si="33"/>
        <v>2515</v>
      </c>
      <c r="AQ50">
        <f t="shared" si="34"/>
        <v>0</v>
      </c>
      <c r="AR50">
        <f t="shared" si="35"/>
        <v>0</v>
      </c>
    </row>
    <row r="51" spans="2:44" x14ac:dyDescent="0.25">
      <c r="B51" s="16" t="s">
        <v>115</v>
      </c>
      <c r="C51" t="s">
        <v>114</v>
      </c>
      <c r="E51" t="s">
        <v>89</v>
      </c>
      <c r="F51">
        <f t="shared" si="9"/>
        <v>0</v>
      </c>
      <c r="G51">
        <f t="shared" si="21"/>
        <v>1</v>
      </c>
      <c r="H51" t="s">
        <v>239</v>
      </c>
      <c r="I51">
        <v>7</v>
      </c>
      <c r="K51" t="s">
        <v>116</v>
      </c>
      <c r="L51" t="s">
        <v>55</v>
      </c>
      <c r="M51" s="5">
        <v>0</v>
      </c>
      <c r="N51" s="4" t="s">
        <v>36</v>
      </c>
      <c r="P51" s="44">
        <v>1775</v>
      </c>
      <c r="Q51" s="1">
        <f>(1775+500)*0.4</f>
        <v>910</v>
      </c>
      <c r="R51">
        <f>(P51+500)-Q51</f>
        <v>1365</v>
      </c>
      <c r="S51" s="6" t="s">
        <v>117</v>
      </c>
      <c r="T51" s="61">
        <v>3</v>
      </c>
      <c r="U51" s="61">
        <f t="shared" si="22"/>
        <v>88.724999999999994</v>
      </c>
      <c r="V51" s="7" t="str">
        <f t="shared" si="23"/>
        <v>PAYPAL</v>
      </c>
      <c r="W51" s="56">
        <v>2</v>
      </c>
      <c r="X51" s="5" t="s">
        <v>25</v>
      </c>
      <c r="Y51" s="1">
        <f t="shared" si="19"/>
        <v>2275</v>
      </c>
      <c r="Z51" s="1"/>
      <c r="AA51" s="1">
        <f t="shared" si="24"/>
        <v>0</v>
      </c>
      <c r="AB51" s="1">
        <f t="shared" si="36"/>
        <v>130</v>
      </c>
      <c r="AC51" s="1"/>
      <c r="AD51">
        <f>P51-AB51</f>
        <v>1645</v>
      </c>
      <c r="AE51" s="1"/>
      <c r="AF51" s="1">
        <f t="shared" si="25"/>
        <v>30</v>
      </c>
      <c r="AG51" s="1">
        <f t="shared" si="26"/>
        <v>1615</v>
      </c>
      <c r="AH51" s="1">
        <f t="shared" si="27"/>
        <v>1615</v>
      </c>
      <c r="AJ51">
        <f t="shared" si="28"/>
        <v>0</v>
      </c>
      <c r="AK51">
        <f t="shared" si="29"/>
        <v>0</v>
      </c>
      <c r="AL51">
        <f t="shared" si="30"/>
        <v>1775</v>
      </c>
      <c r="AM51">
        <f t="shared" si="31"/>
        <v>0</v>
      </c>
      <c r="AO51">
        <f t="shared" si="32"/>
        <v>0</v>
      </c>
      <c r="AP51">
        <f t="shared" si="33"/>
        <v>0</v>
      </c>
      <c r="AQ51">
        <f t="shared" si="34"/>
        <v>1775</v>
      </c>
      <c r="AR51">
        <f t="shared" si="35"/>
        <v>0</v>
      </c>
    </row>
    <row r="52" spans="2:44" x14ac:dyDescent="0.25">
      <c r="F52">
        <f>IF(E52=$B$12,I52,0)</f>
        <v>0</v>
      </c>
      <c r="G52">
        <f>IF(F52&gt;0,0,1)</f>
        <v>1</v>
      </c>
      <c r="N52" s="4"/>
      <c r="P52" s="44"/>
      <c r="Q52" s="1">
        <f>ROUND((P52*0.4),0)</f>
        <v>0</v>
      </c>
      <c r="R52">
        <f>IF(P52&gt;0,((P52+500)-Q52)+U52,0)</f>
        <v>0</v>
      </c>
      <c r="S52" s="6"/>
      <c r="T52" s="61">
        <v>3</v>
      </c>
      <c r="U52" s="61">
        <f>IF(V52=$AE$2,47,IF(V52=$AE$1,ROUND(((P52+500)*0.039),0),IF(V52=$AE$3,0)))</f>
        <v>0</v>
      </c>
      <c r="V52" s="7" t="str">
        <f>IF(W52=1,$AE$2,IF(W52=2,$AE$1,IF(AND(W52&lt;&gt;1,W52&lt;&gt;20)=TRUE,$AE$3)))</f>
        <v>NONE</v>
      </c>
      <c r="W52" s="56"/>
      <c r="X52" s="5"/>
      <c r="Y52" s="61">
        <f>R52+Q52</f>
        <v>0</v>
      </c>
      <c r="Z52" s="61"/>
      <c r="AA52" s="1">
        <f>IF(X52=$AA$1,R52-500,0)</f>
        <v>0</v>
      </c>
      <c r="AB52" s="1">
        <f t="shared" si="36"/>
        <v>0</v>
      </c>
      <c r="AC52" s="1"/>
      <c r="AD52" s="65">
        <f>(P52+U52)-AB52</f>
        <v>0</v>
      </c>
      <c r="AE52" s="1"/>
      <c r="AF52" s="1">
        <f t="shared" si="25"/>
        <v>0</v>
      </c>
      <c r="AG52" s="1">
        <f>IF(AH52&gt;0,AH37:AH52,0)</f>
        <v>0</v>
      </c>
      <c r="AH52" s="1">
        <f t="shared" si="27"/>
        <v>0</v>
      </c>
      <c r="AJ52">
        <f t="shared" si="28"/>
        <v>0</v>
      </c>
      <c r="AK52">
        <f t="shared" si="29"/>
        <v>0</v>
      </c>
      <c r="AL52">
        <f t="shared" si="30"/>
        <v>0</v>
      </c>
      <c r="AM52">
        <f t="shared" si="31"/>
        <v>0</v>
      </c>
      <c r="AO52">
        <f t="shared" si="32"/>
        <v>0</v>
      </c>
      <c r="AP52">
        <f t="shared" si="33"/>
        <v>0</v>
      </c>
      <c r="AQ52">
        <f t="shared" si="34"/>
        <v>0</v>
      </c>
      <c r="AR52">
        <f t="shared" si="35"/>
        <v>0</v>
      </c>
    </row>
    <row r="53" spans="2:44" x14ac:dyDescent="0.25">
      <c r="B53" s="84" t="s">
        <v>84</v>
      </c>
      <c r="C53" s="8" t="s">
        <v>41</v>
      </c>
      <c r="D53" s="8"/>
      <c r="E53" t="s">
        <v>42</v>
      </c>
      <c r="F53">
        <f t="shared" si="9"/>
        <v>9</v>
      </c>
      <c r="G53">
        <f t="shared" si="21"/>
        <v>0</v>
      </c>
      <c r="H53" t="s">
        <v>240</v>
      </c>
      <c r="I53">
        <v>9</v>
      </c>
      <c r="K53" t="s">
        <v>93</v>
      </c>
      <c r="L53" t="s">
        <v>55</v>
      </c>
      <c r="M53" s="5">
        <v>3</v>
      </c>
      <c r="N53" s="4" t="s">
        <v>36</v>
      </c>
      <c r="P53" s="44">
        <v>0</v>
      </c>
      <c r="Q53" s="1"/>
      <c r="R53">
        <f>IF(P53&gt;0,((P53+500)-Q53),0)</f>
        <v>0</v>
      </c>
      <c r="T53" s="61">
        <v>3</v>
      </c>
      <c r="U53" s="61">
        <f t="shared" si="22"/>
        <v>0</v>
      </c>
      <c r="V53" s="7" t="str">
        <f t="shared" si="23"/>
        <v>NONE</v>
      </c>
      <c r="W53" s="56"/>
      <c r="X53" s="5"/>
      <c r="Y53" s="1">
        <f t="shared" si="19"/>
        <v>0</v>
      </c>
      <c r="Z53" s="1"/>
      <c r="AA53" s="1">
        <f t="shared" si="24"/>
        <v>0</v>
      </c>
      <c r="AB53" s="1">
        <f t="shared" si="36"/>
        <v>130</v>
      </c>
      <c r="AC53" s="1"/>
      <c r="AD53">
        <f>P53-AB53</f>
        <v>-130</v>
      </c>
      <c r="AE53" s="1"/>
      <c r="AF53" s="1">
        <f t="shared" si="25"/>
        <v>0</v>
      </c>
      <c r="AG53" s="1">
        <f t="shared" si="26"/>
        <v>0</v>
      </c>
      <c r="AH53" s="1">
        <f t="shared" si="27"/>
        <v>-130</v>
      </c>
      <c r="AJ53">
        <f t="shared" si="28"/>
        <v>0</v>
      </c>
      <c r="AK53">
        <f t="shared" si="29"/>
        <v>0</v>
      </c>
      <c r="AL53">
        <f t="shared" si="30"/>
        <v>0</v>
      </c>
      <c r="AM53">
        <f t="shared" si="31"/>
        <v>0</v>
      </c>
      <c r="AO53">
        <f t="shared" si="32"/>
        <v>0</v>
      </c>
      <c r="AP53">
        <f t="shared" si="33"/>
        <v>0</v>
      </c>
      <c r="AQ53">
        <f t="shared" si="34"/>
        <v>0</v>
      </c>
      <c r="AR53">
        <f t="shared" si="35"/>
        <v>0</v>
      </c>
    </row>
    <row r="54" spans="2:44" x14ac:dyDescent="0.25">
      <c r="B54" t="s">
        <v>137</v>
      </c>
      <c r="C54" t="s">
        <v>136</v>
      </c>
      <c r="E54" t="s">
        <v>30</v>
      </c>
      <c r="F54">
        <f t="shared" ref="F54:F59" si="37">IF(E54=$B$12,I54,0)</f>
        <v>0</v>
      </c>
      <c r="G54">
        <f t="shared" ref="G54:G59" si="38">IF(F54&gt;0,0,1)</f>
        <v>1</v>
      </c>
      <c r="H54" s="83" t="s">
        <v>241</v>
      </c>
      <c r="I54">
        <v>7</v>
      </c>
      <c r="K54" t="s">
        <v>40</v>
      </c>
      <c r="L54" t="s">
        <v>55</v>
      </c>
      <c r="M54" s="5">
        <v>3</v>
      </c>
      <c r="N54" s="4" t="s">
        <v>36</v>
      </c>
      <c r="P54" s="44">
        <f>1914-500</f>
        <v>1414</v>
      </c>
      <c r="Q54" s="1">
        <f>ROUND(P54*0.4,0)</f>
        <v>566</v>
      </c>
      <c r="R54">
        <f>IF(P54&gt;0,((P54+500)-Q54),0)</f>
        <v>1348</v>
      </c>
      <c r="S54" s="6" t="s">
        <v>135</v>
      </c>
      <c r="T54" s="61">
        <v>3</v>
      </c>
      <c r="U54" s="61">
        <f t="shared" si="22"/>
        <v>0</v>
      </c>
      <c r="V54" s="7" t="str">
        <f t="shared" si="23"/>
        <v>NONE</v>
      </c>
      <c r="W54" s="56"/>
      <c r="X54" s="5" t="s">
        <v>328</v>
      </c>
      <c r="Y54" s="1">
        <f>R54+Q54</f>
        <v>1914</v>
      </c>
      <c r="Z54" s="1"/>
      <c r="AA54" s="1">
        <f t="shared" si="24"/>
        <v>0</v>
      </c>
      <c r="AB54" s="1">
        <f t="shared" si="36"/>
        <v>130</v>
      </c>
      <c r="AC54" s="1"/>
      <c r="AD54">
        <f>P54-AB54</f>
        <v>1284</v>
      </c>
      <c r="AE54" s="1"/>
      <c r="AF54" s="1">
        <f t="shared" ref="AF54:AF59" si="39">IF(I54&gt;0,30*G54,0)</f>
        <v>30</v>
      </c>
      <c r="AG54" s="1">
        <f t="shared" si="26"/>
        <v>1254</v>
      </c>
      <c r="AH54" s="1">
        <f t="shared" si="27"/>
        <v>1254</v>
      </c>
      <c r="AJ54">
        <f t="shared" si="28"/>
        <v>0</v>
      </c>
      <c r="AK54">
        <f t="shared" si="29"/>
        <v>0</v>
      </c>
      <c r="AL54">
        <f t="shared" si="30"/>
        <v>1414</v>
      </c>
      <c r="AM54">
        <f t="shared" si="31"/>
        <v>0</v>
      </c>
      <c r="AO54">
        <f t="shared" si="32"/>
        <v>0</v>
      </c>
      <c r="AP54">
        <f t="shared" si="33"/>
        <v>0</v>
      </c>
      <c r="AQ54">
        <f t="shared" si="34"/>
        <v>1414</v>
      </c>
      <c r="AR54">
        <f t="shared" si="35"/>
        <v>0</v>
      </c>
    </row>
    <row r="55" spans="2:44" x14ac:dyDescent="0.25">
      <c r="B55" s="5" t="s">
        <v>331</v>
      </c>
      <c r="C55" t="s">
        <v>261</v>
      </c>
      <c r="E55" t="s">
        <v>30</v>
      </c>
      <c r="F55">
        <f t="shared" si="37"/>
        <v>0</v>
      </c>
      <c r="G55">
        <f t="shared" si="38"/>
        <v>1</v>
      </c>
      <c r="H55" t="s">
        <v>262</v>
      </c>
      <c r="I55">
        <v>7</v>
      </c>
      <c r="K55" t="s">
        <v>98</v>
      </c>
      <c r="L55" t="s">
        <v>263</v>
      </c>
      <c r="M55" s="5">
        <v>0</v>
      </c>
      <c r="N55" s="4" t="s">
        <v>36</v>
      </c>
      <c r="P55" s="86">
        <v>1474</v>
      </c>
      <c r="Q55" s="1">
        <f>ROUND((P55*0.4),0)</f>
        <v>590</v>
      </c>
      <c r="R55">
        <f>IF(P55&gt;0,((P55+500)-Q55)+U55,0)</f>
        <v>1384</v>
      </c>
      <c r="S55" s="6" t="s">
        <v>264</v>
      </c>
      <c r="T55" s="61">
        <v>3</v>
      </c>
      <c r="U55" s="61">
        <f>IF(V55=$AE$2,47,IF(V55=$AE$1,ROUND(((P55+500)*0.039),0),IF(V55=$AE$3,0)))</f>
        <v>0</v>
      </c>
      <c r="V55" s="7" t="str">
        <f t="shared" si="23"/>
        <v>NONE</v>
      </c>
      <c r="W55" s="56"/>
      <c r="X55" s="91" t="s">
        <v>323</v>
      </c>
      <c r="Y55" s="61">
        <f>R55+Q55</f>
        <v>1974</v>
      </c>
      <c r="Z55" s="61"/>
      <c r="AA55" s="1">
        <f t="shared" si="24"/>
        <v>0</v>
      </c>
      <c r="AB55" s="1">
        <f t="shared" si="36"/>
        <v>130</v>
      </c>
      <c r="AC55" s="1"/>
      <c r="AD55" s="65">
        <f>(P55+U55)-AB55</f>
        <v>1344</v>
      </c>
      <c r="AE55" s="1"/>
      <c r="AF55" s="1">
        <f t="shared" si="39"/>
        <v>30</v>
      </c>
      <c r="AG55" s="1">
        <f>IF(AH55&gt;0,AH38:AH55,0)</f>
        <v>1314</v>
      </c>
      <c r="AH55" s="1">
        <f t="shared" si="27"/>
        <v>1314</v>
      </c>
      <c r="AJ55">
        <f t="shared" si="28"/>
        <v>0</v>
      </c>
      <c r="AK55">
        <f t="shared" si="29"/>
        <v>0</v>
      </c>
      <c r="AL55">
        <f t="shared" si="30"/>
        <v>1474</v>
      </c>
      <c r="AM55">
        <f t="shared" si="31"/>
        <v>0</v>
      </c>
      <c r="AO55">
        <f t="shared" si="32"/>
        <v>0</v>
      </c>
      <c r="AP55">
        <f t="shared" si="33"/>
        <v>0</v>
      </c>
      <c r="AQ55">
        <f t="shared" si="34"/>
        <v>1474</v>
      </c>
      <c r="AR55">
        <f t="shared" si="35"/>
        <v>0</v>
      </c>
    </row>
    <row r="56" spans="2:44" x14ac:dyDescent="0.25">
      <c r="B56" t="s">
        <v>200</v>
      </c>
      <c r="C56" t="s">
        <v>199</v>
      </c>
      <c r="E56" t="s">
        <v>30</v>
      </c>
      <c r="F56">
        <f t="shared" si="37"/>
        <v>0</v>
      </c>
      <c r="G56">
        <f t="shared" si="38"/>
        <v>1</v>
      </c>
      <c r="H56" t="s">
        <v>242</v>
      </c>
      <c r="I56">
        <v>14</v>
      </c>
      <c r="K56" t="s">
        <v>201</v>
      </c>
      <c r="L56" t="s">
        <v>55</v>
      </c>
      <c r="M56" s="5">
        <v>3</v>
      </c>
      <c r="N56" s="4" t="s">
        <v>36</v>
      </c>
      <c r="P56" s="45">
        <v>3020</v>
      </c>
      <c r="Q56" s="1">
        <f>ROUND((P56*0.4),0)</f>
        <v>1208</v>
      </c>
      <c r="R56">
        <f>IF(P56&gt;0,((P56+500)-Q56),0)</f>
        <v>2312</v>
      </c>
      <c r="S56" s="6" t="s">
        <v>203</v>
      </c>
      <c r="T56" s="61">
        <v>3</v>
      </c>
      <c r="U56" s="61">
        <f t="shared" si="22"/>
        <v>137.28</v>
      </c>
      <c r="V56" s="7" t="str">
        <f t="shared" si="23"/>
        <v>PAYPAL</v>
      </c>
      <c r="W56" s="56">
        <v>2</v>
      </c>
      <c r="X56" s="5" t="s">
        <v>322</v>
      </c>
      <c r="Y56" s="1">
        <f>R56+Q56</f>
        <v>3520</v>
      </c>
      <c r="Z56" s="1"/>
      <c r="AA56" s="1">
        <f t="shared" si="24"/>
        <v>0</v>
      </c>
      <c r="AB56" s="1">
        <f t="shared" si="36"/>
        <v>130</v>
      </c>
      <c r="AC56" s="1"/>
      <c r="AD56">
        <f>P56-AB56</f>
        <v>2890</v>
      </c>
      <c r="AE56" s="1"/>
      <c r="AF56" s="1">
        <f t="shared" si="39"/>
        <v>30</v>
      </c>
      <c r="AG56" s="1">
        <f t="shared" si="26"/>
        <v>2860</v>
      </c>
      <c r="AH56" s="1">
        <f t="shared" si="27"/>
        <v>2860</v>
      </c>
      <c r="AJ56">
        <f t="shared" si="28"/>
        <v>0</v>
      </c>
      <c r="AK56">
        <f t="shared" si="29"/>
        <v>0</v>
      </c>
      <c r="AL56">
        <f t="shared" si="30"/>
        <v>3020</v>
      </c>
      <c r="AM56">
        <f t="shared" si="31"/>
        <v>0</v>
      </c>
      <c r="AO56">
        <f t="shared" si="32"/>
        <v>0</v>
      </c>
      <c r="AP56">
        <f t="shared" si="33"/>
        <v>0</v>
      </c>
      <c r="AQ56">
        <f t="shared" si="34"/>
        <v>3020</v>
      </c>
      <c r="AR56">
        <f t="shared" si="35"/>
        <v>0</v>
      </c>
    </row>
    <row r="57" spans="2:44" x14ac:dyDescent="0.25">
      <c r="C57" s="8"/>
      <c r="D57" s="8"/>
      <c r="F57">
        <f t="shared" si="37"/>
        <v>0</v>
      </c>
      <c r="G57">
        <f t="shared" si="38"/>
        <v>1</v>
      </c>
      <c r="I57">
        <v>0</v>
      </c>
      <c r="N57" s="4"/>
      <c r="P57" s="44">
        <v>0</v>
      </c>
      <c r="Q57" s="1">
        <f>ROUND((P57*0.4),0)</f>
        <v>0</v>
      </c>
      <c r="R57">
        <f>IF(P57&gt;0,((P57+500)-Q57),0)</f>
        <v>0</v>
      </c>
      <c r="S57" s="6"/>
      <c r="T57" s="61">
        <v>3</v>
      </c>
      <c r="U57" s="61">
        <f t="shared" si="22"/>
        <v>0</v>
      </c>
      <c r="V57" s="7" t="str">
        <f t="shared" si="23"/>
        <v>NONE</v>
      </c>
      <c r="W57" s="56"/>
      <c r="X57" s="5"/>
      <c r="Y57" s="61">
        <f>R57+Q57+U57</f>
        <v>0</v>
      </c>
      <c r="Z57" s="61"/>
      <c r="AA57" s="1">
        <f t="shared" si="24"/>
        <v>0</v>
      </c>
      <c r="AB57" s="1">
        <f t="shared" si="36"/>
        <v>0</v>
      </c>
      <c r="AC57" s="1"/>
      <c r="AD57" s="65">
        <f>(P57+U57)-AB57</f>
        <v>0</v>
      </c>
      <c r="AE57" s="1"/>
      <c r="AF57" s="1">
        <f t="shared" si="39"/>
        <v>0</v>
      </c>
      <c r="AG57" s="1">
        <f t="shared" si="26"/>
        <v>0</v>
      </c>
      <c r="AH57" s="1">
        <f t="shared" si="27"/>
        <v>0</v>
      </c>
      <c r="AJ57">
        <f t="shared" si="28"/>
        <v>0</v>
      </c>
      <c r="AK57">
        <f t="shared" si="29"/>
        <v>0</v>
      </c>
      <c r="AL57">
        <f t="shared" si="30"/>
        <v>0</v>
      </c>
      <c r="AM57">
        <f t="shared" si="31"/>
        <v>0</v>
      </c>
      <c r="AO57">
        <f t="shared" si="32"/>
        <v>0</v>
      </c>
      <c r="AP57">
        <f t="shared" si="33"/>
        <v>0</v>
      </c>
      <c r="AQ57">
        <f t="shared" si="34"/>
        <v>0</v>
      </c>
      <c r="AR57">
        <f t="shared" si="35"/>
        <v>0</v>
      </c>
    </row>
    <row r="58" spans="2:44" x14ac:dyDescent="0.25">
      <c r="B58" s="8" t="s">
        <v>196</v>
      </c>
      <c r="C58" t="s">
        <v>195</v>
      </c>
      <c r="E58" t="s">
        <v>197</v>
      </c>
      <c r="F58">
        <f t="shared" si="37"/>
        <v>0</v>
      </c>
      <c r="G58">
        <f t="shared" si="38"/>
        <v>1</v>
      </c>
      <c r="H58" t="s">
        <v>194</v>
      </c>
      <c r="I58">
        <v>14</v>
      </c>
      <c r="K58" t="s">
        <v>190</v>
      </c>
      <c r="L58" t="s">
        <v>55</v>
      </c>
      <c r="M58" s="5">
        <v>0</v>
      </c>
      <c r="N58" s="4" t="s">
        <v>36</v>
      </c>
      <c r="P58" s="44">
        <f>ROUND(((2311+500)*0.039)+2311,0)</f>
        <v>2421</v>
      </c>
      <c r="Q58" s="1">
        <f>ROUND((P58*0.4),0)</f>
        <v>968</v>
      </c>
      <c r="R58">
        <f>IF(P58&gt;0,((P58+500)-Q58),0)</f>
        <v>1953</v>
      </c>
      <c r="S58" s="6" t="s">
        <v>198</v>
      </c>
      <c r="T58" s="61">
        <v>3</v>
      </c>
      <c r="U58" s="61">
        <f t="shared" si="22"/>
        <v>113.919</v>
      </c>
      <c r="V58" s="7" t="str">
        <f t="shared" si="23"/>
        <v>PAYPAL</v>
      </c>
      <c r="W58" s="56">
        <v>2</v>
      </c>
      <c r="X58" s="87" t="s">
        <v>327</v>
      </c>
      <c r="Y58" s="1">
        <f t="shared" si="19"/>
        <v>2921</v>
      </c>
      <c r="Z58" s="1"/>
      <c r="AA58" s="1">
        <f t="shared" si="24"/>
        <v>0</v>
      </c>
      <c r="AB58" s="1">
        <f t="shared" si="36"/>
        <v>130</v>
      </c>
      <c r="AC58" s="1"/>
      <c r="AD58">
        <f>P58-AB58</f>
        <v>2291</v>
      </c>
      <c r="AE58" s="1"/>
      <c r="AF58" s="1">
        <f t="shared" si="39"/>
        <v>30</v>
      </c>
      <c r="AG58" s="1">
        <f t="shared" si="26"/>
        <v>2261</v>
      </c>
      <c r="AH58" s="1">
        <f t="shared" si="27"/>
        <v>2261</v>
      </c>
      <c r="AJ58">
        <f t="shared" si="28"/>
        <v>0</v>
      </c>
      <c r="AK58">
        <f t="shared" si="29"/>
        <v>0</v>
      </c>
      <c r="AL58">
        <f t="shared" si="30"/>
        <v>2421</v>
      </c>
      <c r="AM58">
        <f t="shared" si="31"/>
        <v>0</v>
      </c>
      <c r="AO58">
        <f t="shared" si="32"/>
        <v>0</v>
      </c>
      <c r="AP58">
        <f t="shared" si="33"/>
        <v>0</v>
      </c>
      <c r="AQ58">
        <f t="shared" si="34"/>
        <v>2421</v>
      </c>
      <c r="AR58">
        <f t="shared" si="35"/>
        <v>0</v>
      </c>
    </row>
    <row r="59" spans="2:44" x14ac:dyDescent="0.25">
      <c r="B59" s="16" t="s">
        <v>146</v>
      </c>
      <c r="C59" t="s">
        <v>147</v>
      </c>
      <c r="E59" t="s">
        <v>61</v>
      </c>
      <c r="F59">
        <f t="shared" si="37"/>
        <v>0</v>
      </c>
      <c r="G59">
        <f t="shared" si="38"/>
        <v>1</v>
      </c>
      <c r="H59" t="s">
        <v>145</v>
      </c>
      <c r="I59">
        <v>7</v>
      </c>
      <c r="K59" t="s">
        <v>108</v>
      </c>
      <c r="L59" t="s">
        <v>55</v>
      </c>
      <c r="M59" s="5">
        <v>0</v>
      </c>
      <c r="N59" s="4" t="s">
        <v>36</v>
      </c>
      <c r="P59" s="44">
        <v>1431</v>
      </c>
      <c r="Q59" s="1">
        <f>ROUND(P59*0.4,0)</f>
        <v>572</v>
      </c>
      <c r="R59">
        <f>IF(P59&gt;0,((P59+500)-Q59),0)</f>
        <v>1359</v>
      </c>
      <c r="S59" s="6" t="s">
        <v>148</v>
      </c>
      <c r="T59" s="61">
        <v>3</v>
      </c>
      <c r="U59" s="61">
        <f t="shared" si="22"/>
        <v>75.308999999999997</v>
      </c>
      <c r="V59" s="7" t="str">
        <f t="shared" si="23"/>
        <v>PAYPAL</v>
      </c>
      <c r="W59" s="56">
        <v>2</v>
      </c>
      <c r="X59" s="5" t="s">
        <v>335</v>
      </c>
      <c r="Y59" s="1">
        <f>R59+Q59</f>
        <v>1931</v>
      </c>
      <c r="Z59" s="1"/>
      <c r="AA59" s="1">
        <f t="shared" si="24"/>
        <v>0</v>
      </c>
      <c r="AB59" s="1">
        <f t="shared" si="36"/>
        <v>130</v>
      </c>
      <c r="AC59" s="1"/>
      <c r="AD59">
        <f>P59-AB59</f>
        <v>1301</v>
      </c>
      <c r="AE59" s="1"/>
      <c r="AF59" s="1">
        <f t="shared" si="39"/>
        <v>30</v>
      </c>
      <c r="AG59" s="1">
        <f t="shared" si="26"/>
        <v>1271</v>
      </c>
      <c r="AH59" s="1">
        <f t="shared" si="27"/>
        <v>1271</v>
      </c>
      <c r="AJ59">
        <f t="shared" si="28"/>
        <v>0</v>
      </c>
      <c r="AK59">
        <f t="shared" si="29"/>
        <v>0</v>
      </c>
      <c r="AL59">
        <f t="shared" si="30"/>
        <v>1431</v>
      </c>
      <c r="AM59">
        <f t="shared" si="31"/>
        <v>0</v>
      </c>
      <c r="AO59">
        <f t="shared" si="32"/>
        <v>0</v>
      </c>
      <c r="AP59">
        <f t="shared" si="33"/>
        <v>0</v>
      </c>
      <c r="AQ59">
        <f t="shared" si="34"/>
        <v>1431</v>
      </c>
      <c r="AR59">
        <f t="shared" si="35"/>
        <v>0</v>
      </c>
    </row>
    <row r="60" spans="2:44" x14ac:dyDescent="0.25">
      <c r="B60" s="83" t="s">
        <v>82</v>
      </c>
      <c r="C60" s="8" t="s">
        <v>41</v>
      </c>
      <c r="D60" s="8"/>
      <c r="E60" t="s">
        <v>42</v>
      </c>
      <c r="F60">
        <f t="shared" si="9"/>
        <v>3</v>
      </c>
      <c r="G60">
        <f t="shared" si="21"/>
        <v>0</v>
      </c>
      <c r="H60" t="s">
        <v>243</v>
      </c>
      <c r="I60">
        <v>3</v>
      </c>
      <c r="K60" t="s">
        <v>63</v>
      </c>
      <c r="L60" t="s">
        <v>55</v>
      </c>
      <c r="M60" s="5">
        <v>3</v>
      </c>
      <c r="N60" s="4" t="s">
        <v>36</v>
      </c>
      <c r="P60" s="44">
        <v>0</v>
      </c>
      <c r="Q60" s="1">
        <v>0</v>
      </c>
      <c r="R60">
        <f t="shared" ref="R60:R70" si="40">IF(P60&gt;0,((P60+500)-Q60),0)</f>
        <v>0</v>
      </c>
      <c r="S60" s="6" t="s">
        <v>42</v>
      </c>
      <c r="T60" s="61">
        <v>4</v>
      </c>
      <c r="U60" s="61">
        <f>IF(V60=$AE$2,47,IF(V60=$AE$1,ROUND(((R60+Q60)*0.039),0),IF(V60=$AE$3,0)))</f>
        <v>0</v>
      </c>
      <c r="V60" s="7" t="str">
        <f t="shared" si="23"/>
        <v>NONE</v>
      </c>
      <c r="W60" s="56"/>
      <c r="X60" s="5"/>
      <c r="Y60" s="1">
        <f t="shared" si="19"/>
        <v>0</v>
      </c>
      <c r="Z60" s="1"/>
      <c r="AA60" s="1">
        <f t="shared" si="24"/>
        <v>0</v>
      </c>
      <c r="AB60" s="1">
        <f t="shared" si="36"/>
        <v>130</v>
      </c>
      <c r="AC60" s="1"/>
      <c r="AD60">
        <f>P60-AB60</f>
        <v>-130</v>
      </c>
      <c r="AE60" s="1"/>
      <c r="AF60" s="1">
        <f t="shared" si="25"/>
        <v>0</v>
      </c>
      <c r="AG60" s="1">
        <f t="shared" si="26"/>
        <v>0</v>
      </c>
      <c r="AH60" s="1">
        <f t="shared" si="27"/>
        <v>-130</v>
      </c>
      <c r="AJ60">
        <f t="shared" si="28"/>
        <v>0</v>
      </c>
      <c r="AK60">
        <f t="shared" si="29"/>
        <v>0</v>
      </c>
      <c r="AL60">
        <f t="shared" si="30"/>
        <v>0</v>
      </c>
      <c r="AM60">
        <f t="shared" si="31"/>
        <v>0</v>
      </c>
      <c r="AO60">
        <f t="shared" si="32"/>
        <v>0</v>
      </c>
      <c r="AP60">
        <f t="shared" si="33"/>
        <v>0</v>
      </c>
      <c r="AQ60">
        <f t="shared" si="34"/>
        <v>0</v>
      </c>
      <c r="AR60">
        <f t="shared" si="35"/>
        <v>0</v>
      </c>
    </row>
    <row r="61" spans="2:44" x14ac:dyDescent="0.25">
      <c r="B61" t="s">
        <v>182</v>
      </c>
      <c r="C61" t="s">
        <v>181</v>
      </c>
      <c r="E61" t="s">
        <v>30</v>
      </c>
      <c r="F61">
        <f t="shared" si="9"/>
        <v>0</v>
      </c>
      <c r="G61">
        <f t="shared" si="21"/>
        <v>1</v>
      </c>
      <c r="H61" t="s">
        <v>183</v>
      </c>
      <c r="I61">
        <v>11</v>
      </c>
      <c r="K61" t="s">
        <v>184</v>
      </c>
      <c r="L61" t="s">
        <v>55</v>
      </c>
      <c r="M61" s="5">
        <v>0</v>
      </c>
      <c r="N61" s="4" t="s">
        <v>36</v>
      </c>
      <c r="P61" s="86">
        <v>1856</v>
      </c>
      <c r="Q61" s="1">
        <f t="shared" ref="Q61:Q66" si="41">ROUND((P61*0.4),0)</f>
        <v>742</v>
      </c>
      <c r="R61">
        <f t="shared" si="40"/>
        <v>1614</v>
      </c>
      <c r="S61" s="97" t="s">
        <v>185</v>
      </c>
      <c r="T61" s="102">
        <v>4</v>
      </c>
      <c r="U61" s="61">
        <f t="shared" si="22"/>
        <v>47</v>
      </c>
      <c r="V61" s="7" t="str">
        <f t="shared" si="23"/>
        <v>BANK</v>
      </c>
      <c r="W61" s="56">
        <v>1</v>
      </c>
      <c r="X61" s="5" t="s">
        <v>343</v>
      </c>
      <c r="Y61" s="1">
        <f t="shared" ref="Y61:Y66" si="42">R61+Q61</f>
        <v>2356</v>
      </c>
      <c r="Z61" s="1"/>
      <c r="AA61" s="1">
        <f t="shared" si="24"/>
        <v>0</v>
      </c>
      <c r="AB61" s="1">
        <f t="shared" si="36"/>
        <v>130</v>
      </c>
      <c r="AC61" s="1"/>
      <c r="AD61">
        <f t="shared" ref="AD61:AD66" si="43">P61-AB61</f>
        <v>1726</v>
      </c>
      <c r="AE61" s="1"/>
      <c r="AF61" s="1">
        <f t="shared" si="25"/>
        <v>30</v>
      </c>
      <c r="AG61" s="1">
        <f t="shared" si="26"/>
        <v>1696</v>
      </c>
      <c r="AH61" s="1">
        <f t="shared" si="27"/>
        <v>1696</v>
      </c>
      <c r="AJ61">
        <f t="shared" si="28"/>
        <v>0</v>
      </c>
      <c r="AK61">
        <f t="shared" si="29"/>
        <v>0</v>
      </c>
      <c r="AL61">
        <f t="shared" si="30"/>
        <v>0</v>
      </c>
      <c r="AM61">
        <f t="shared" si="31"/>
        <v>1856</v>
      </c>
      <c r="AO61">
        <f t="shared" si="32"/>
        <v>0</v>
      </c>
      <c r="AP61">
        <f t="shared" si="33"/>
        <v>0</v>
      </c>
      <c r="AQ61">
        <f t="shared" si="34"/>
        <v>0</v>
      </c>
      <c r="AR61">
        <f t="shared" si="35"/>
        <v>1856</v>
      </c>
    </row>
    <row r="62" spans="2:44" x14ac:dyDescent="0.25">
      <c r="B62" t="s">
        <v>295</v>
      </c>
      <c r="C62" t="s">
        <v>293</v>
      </c>
      <c r="E62" t="s">
        <v>30</v>
      </c>
      <c r="F62">
        <f t="shared" si="9"/>
        <v>0</v>
      </c>
      <c r="G62">
        <f t="shared" si="21"/>
        <v>1</v>
      </c>
      <c r="H62" t="s">
        <v>294</v>
      </c>
      <c r="I62">
        <v>7</v>
      </c>
      <c r="K62" t="s">
        <v>40</v>
      </c>
      <c r="L62" t="s">
        <v>55</v>
      </c>
      <c r="M62" s="5">
        <v>3</v>
      </c>
      <c r="N62" s="4" t="s">
        <v>36</v>
      </c>
      <c r="P62" s="86">
        <v>1364</v>
      </c>
      <c r="Q62" s="1">
        <f>ROUND((P62*0.4),0)</f>
        <v>546</v>
      </c>
      <c r="R62">
        <f>IF(P62&gt;0,((P62+500)-Q62)+U62,0)</f>
        <v>1391</v>
      </c>
      <c r="S62" s="6">
        <v>40789</v>
      </c>
      <c r="T62" s="61">
        <v>4</v>
      </c>
      <c r="U62" s="61">
        <f>IF(V62=$AE$2,47,IF(V62=$AE$1,ROUND(((P62+500)*0.039),0),IF(V62=$AE$3,0)))</f>
        <v>73</v>
      </c>
      <c r="V62" s="7" t="str">
        <f t="shared" si="23"/>
        <v>PAYPAL</v>
      </c>
      <c r="W62" s="56">
        <v>2</v>
      </c>
      <c r="X62" s="5" t="s">
        <v>351</v>
      </c>
      <c r="Y62" s="61">
        <f>R62+Q62</f>
        <v>1937</v>
      </c>
      <c r="Z62" s="61"/>
      <c r="AA62" s="1">
        <f t="shared" si="24"/>
        <v>0</v>
      </c>
      <c r="AB62" s="1">
        <f t="shared" si="36"/>
        <v>130</v>
      </c>
      <c r="AC62" s="1"/>
      <c r="AD62" s="65">
        <f>(P62+U62)-AB62</f>
        <v>1307</v>
      </c>
      <c r="AE62" s="1"/>
      <c r="AF62" s="1">
        <f t="shared" si="25"/>
        <v>30</v>
      </c>
      <c r="AG62" s="1">
        <f>IF(AH62&gt;0,AH47:AH62,0)</f>
        <v>1277</v>
      </c>
      <c r="AH62" s="1">
        <f t="shared" si="27"/>
        <v>1277</v>
      </c>
      <c r="AJ62">
        <f t="shared" si="28"/>
        <v>0</v>
      </c>
      <c r="AK62">
        <f t="shared" si="29"/>
        <v>0</v>
      </c>
      <c r="AL62">
        <f t="shared" si="30"/>
        <v>0</v>
      </c>
      <c r="AM62">
        <f t="shared" si="31"/>
        <v>1364</v>
      </c>
      <c r="AO62">
        <f t="shared" si="32"/>
        <v>0</v>
      </c>
      <c r="AP62">
        <f t="shared" si="33"/>
        <v>0</v>
      </c>
      <c r="AQ62">
        <f t="shared" si="34"/>
        <v>0</v>
      </c>
      <c r="AR62">
        <f t="shared" si="35"/>
        <v>1364</v>
      </c>
    </row>
    <row r="63" spans="2:44" x14ac:dyDescent="0.25">
      <c r="B63" s="8" t="s">
        <v>258</v>
      </c>
      <c r="C63" t="s">
        <v>212</v>
      </c>
      <c r="E63" t="s">
        <v>61</v>
      </c>
      <c r="F63">
        <f t="shared" si="9"/>
        <v>0</v>
      </c>
      <c r="G63">
        <f t="shared" si="21"/>
        <v>1</v>
      </c>
      <c r="H63" t="s">
        <v>246</v>
      </c>
      <c r="I63">
        <v>5</v>
      </c>
      <c r="K63" t="s">
        <v>80</v>
      </c>
      <c r="L63" t="s">
        <v>55</v>
      </c>
      <c r="M63" s="51">
        <v>0</v>
      </c>
      <c r="N63" s="4" t="s">
        <v>36</v>
      </c>
      <c r="P63" s="86">
        <v>931</v>
      </c>
      <c r="Q63" s="1">
        <f t="shared" si="41"/>
        <v>372</v>
      </c>
      <c r="R63">
        <f t="shared" si="40"/>
        <v>1059</v>
      </c>
      <c r="S63" s="6" t="s">
        <v>213</v>
      </c>
      <c r="T63" s="61">
        <v>4</v>
      </c>
      <c r="U63" s="61">
        <f t="shared" si="22"/>
        <v>55.808999999999997</v>
      </c>
      <c r="V63" s="7" t="str">
        <f t="shared" si="23"/>
        <v>PAYPAL</v>
      </c>
      <c r="W63" s="56">
        <v>2</v>
      </c>
      <c r="X63" s="5" t="s">
        <v>351</v>
      </c>
      <c r="Y63" s="1">
        <f t="shared" si="42"/>
        <v>1431</v>
      </c>
      <c r="Z63" s="1"/>
      <c r="AA63" s="1">
        <f t="shared" si="24"/>
        <v>0</v>
      </c>
      <c r="AB63" s="1">
        <f t="shared" si="36"/>
        <v>130</v>
      </c>
      <c r="AC63" s="1"/>
      <c r="AD63">
        <f t="shared" si="43"/>
        <v>801</v>
      </c>
      <c r="AE63" s="1"/>
      <c r="AF63" s="1">
        <f t="shared" si="25"/>
        <v>30</v>
      </c>
      <c r="AG63" s="1">
        <f t="shared" si="26"/>
        <v>771</v>
      </c>
      <c r="AH63" s="1">
        <f t="shared" si="27"/>
        <v>771</v>
      </c>
      <c r="AJ63">
        <f t="shared" si="28"/>
        <v>0</v>
      </c>
      <c r="AK63">
        <f t="shared" si="29"/>
        <v>0</v>
      </c>
      <c r="AL63">
        <f t="shared" si="30"/>
        <v>0</v>
      </c>
      <c r="AM63">
        <f t="shared" si="31"/>
        <v>931</v>
      </c>
      <c r="AO63">
        <f t="shared" si="32"/>
        <v>0</v>
      </c>
      <c r="AP63">
        <f t="shared" si="33"/>
        <v>0</v>
      </c>
      <c r="AQ63">
        <f t="shared" si="34"/>
        <v>0</v>
      </c>
      <c r="AR63">
        <f t="shared" si="35"/>
        <v>931</v>
      </c>
    </row>
    <row r="64" spans="2:44" x14ac:dyDescent="0.25">
      <c r="B64" s="83" t="s">
        <v>82</v>
      </c>
      <c r="C64" s="8" t="s">
        <v>42</v>
      </c>
      <c r="D64" s="8"/>
      <c r="E64" t="s">
        <v>42</v>
      </c>
      <c r="F64">
        <f>IF(E64=$B$12,I64,0)</f>
        <v>3</v>
      </c>
      <c r="G64">
        <f>IF(F64&gt;0,0,1)</f>
        <v>0</v>
      </c>
      <c r="H64" t="s">
        <v>247</v>
      </c>
      <c r="I64">
        <v>3</v>
      </c>
      <c r="K64" t="s">
        <v>188</v>
      </c>
      <c r="L64" t="s">
        <v>55</v>
      </c>
      <c r="M64" s="5">
        <v>3</v>
      </c>
      <c r="N64" s="4" t="s">
        <v>36</v>
      </c>
      <c r="P64" s="86">
        <v>0</v>
      </c>
      <c r="Q64" s="1">
        <f>ROUND((P64*0.4),0)</f>
        <v>0</v>
      </c>
      <c r="R64">
        <f>IF(P64&gt;0,((P64+500)-Q64),0)</f>
        <v>0</v>
      </c>
      <c r="S64" s="6"/>
      <c r="T64" s="61">
        <v>4</v>
      </c>
      <c r="U64" s="61">
        <f>IF(V64=$AE$2,47,IF(V64=$AE$1,ROUND(((R64+Q64)*0.039),0),IF(V64=$AE$3,0)))</f>
        <v>0</v>
      </c>
      <c r="V64" s="7" t="str">
        <f t="shared" si="23"/>
        <v>NONE</v>
      </c>
      <c r="W64" s="56"/>
      <c r="X64" s="5"/>
      <c r="Y64" s="1">
        <f t="shared" si="42"/>
        <v>0</v>
      </c>
      <c r="Z64" s="1"/>
      <c r="AA64" s="1">
        <f t="shared" si="24"/>
        <v>0</v>
      </c>
      <c r="AB64" s="1">
        <f t="shared" si="36"/>
        <v>130</v>
      </c>
      <c r="AC64" s="1"/>
      <c r="AD64">
        <f t="shared" si="43"/>
        <v>-130</v>
      </c>
      <c r="AE64" s="1"/>
      <c r="AF64" s="1">
        <f>IF(I64&gt;0,30*G64,0)</f>
        <v>0</v>
      </c>
      <c r="AG64" s="1">
        <f t="shared" si="26"/>
        <v>0</v>
      </c>
      <c r="AH64" s="1">
        <f t="shared" si="27"/>
        <v>-130</v>
      </c>
      <c r="AJ64">
        <f t="shared" si="28"/>
        <v>0</v>
      </c>
      <c r="AK64">
        <f t="shared" si="29"/>
        <v>0</v>
      </c>
      <c r="AL64">
        <f t="shared" si="30"/>
        <v>0</v>
      </c>
      <c r="AM64">
        <f t="shared" si="31"/>
        <v>0</v>
      </c>
      <c r="AO64">
        <f t="shared" si="32"/>
        <v>0</v>
      </c>
      <c r="AP64">
        <f t="shared" si="33"/>
        <v>0</v>
      </c>
      <c r="AQ64">
        <f t="shared" si="34"/>
        <v>0</v>
      </c>
      <c r="AR64">
        <f t="shared" si="35"/>
        <v>0</v>
      </c>
    </row>
    <row r="65" spans="1:45" x14ac:dyDescent="0.25">
      <c r="B65" s="16" t="s">
        <v>269</v>
      </c>
      <c r="C65" t="s">
        <v>272</v>
      </c>
      <c r="E65" t="s">
        <v>30</v>
      </c>
      <c r="F65">
        <f>IF(E65=$B$12,I65,0)</f>
        <v>0</v>
      </c>
      <c r="G65">
        <f>IF(F65&gt;0,0,1)</f>
        <v>1</v>
      </c>
      <c r="H65" t="s">
        <v>270</v>
      </c>
      <c r="I65">
        <v>7</v>
      </c>
      <c r="K65" t="s">
        <v>98</v>
      </c>
      <c r="L65" t="s">
        <v>55</v>
      </c>
      <c r="M65" s="5">
        <v>3</v>
      </c>
      <c r="N65" s="4" t="s">
        <v>36</v>
      </c>
      <c r="P65" s="86">
        <v>1474</v>
      </c>
      <c r="Q65" s="1">
        <f>ROUND((P65*0.4),0)</f>
        <v>590</v>
      </c>
      <c r="R65">
        <f>IF(P65&gt;0,((P65+500)-Q65)+U65,0)</f>
        <v>1461</v>
      </c>
      <c r="S65" s="6" t="s">
        <v>271</v>
      </c>
      <c r="T65" s="61">
        <v>4</v>
      </c>
      <c r="U65" s="61">
        <f>IF(V65=$AE$2,47,IF(V65=$AE$1,ROUND(((P65+500)*0.039),0),IF(V65=$AE$3,0)))</f>
        <v>77</v>
      </c>
      <c r="V65" s="7" t="str">
        <f t="shared" si="23"/>
        <v>PAYPAL</v>
      </c>
      <c r="W65" s="56">
        <v>2</v>
      </c>
      <c r="X65" s="51" t="s">
        <v>351</v>
      </c>
      <c r="Y65" s="61">
        <f>R65+Q65</f>
        <v>2051</v>
      </c>
      <c r="Z65" s="61"/>
      <c r="AA65" s="1">
        <f t="shared" si="24"/>
        <v>0</v>
      </c>
      <c r="AB65" s="1">
        <f t="shared" si="36"/>
        <v>130</v>
      </c>
      <c r="AC65" s="1"/>
      <c r="AD65" s="65">
        <f>(P65+U65)-AB65</f>
        <v>1421</v>
      </c>
      <c r="AE65" s="1"/>
      <c r="AF65" s="1">
        <f>IF(I65&gt;0,30*G65,0)</f>
        <v>30</v>
      </c>
      <c r="AG65" s="1">
        <f>IF(AH65&gt;0,AH48:AH65,0)</f>
        <v>1391</v>
      </c>
      <c r="AH65" s="1">
        <f t="shared" si="27"/>
        <v>1391</v>
      </c>
      <c r="AJ65">
        <f t="shared" si="28"/>
        <v>0</v>
      </c>
      <c r="AK65">
        <f t="shared" si="29"/>
        <v>0</v>
      </c>
      <c r="AL65">
        <f t="shared" si="30"/>
        <v>0</v>
      </c>
      <c r="AM65">
        <f t="shared" si="31"/>
        <v>1474</v>
      </c>
      <c r="AO65">
        <f t="shared" si="32"/>
        <v>0</v>
      </c>
      <c r="AP65">
        <f t="shared" si="33"/>
        <v>0</v>
      </c>
      <c r="AQ65">
        <f t="shared" si="34"/>
        <v>0</v>
      </c>
      <c r="AR65">
        <f t="shared" si="35"/>
        <v>1474</v>
      </c>
    </row>
    <row r="66" spans="1:45" x14ac:dyDescent="0.25">
      <c r="B66" s="8" t="s">
        <v>186</v>
      </c>
      <c r="C66" t="s">
        <v>349</v>
      </c>
      <c r="E66" t="s">
        <v>61</v>
      </c>
      <c r="F66">
        <f t="shared" si="9"/>
        <v>0</v>
      </c>
      <c r="G66">
        <f t="shared" si="21"/>
        <v>1</v>
      </c>
      <c r="H66" t="s">
        <v>187</v>
      </c>
      <c r="I66">
        <v>10</v>
      </c>
      <c r="K66" t="s">
        <v>184</v>
      </c>
      <c r="L66" t="s">
        <v>55</v>
      </c>
      <c r="M66" s="5">
        <v>0</v>
      </c>
      <c r="N66" s="4" t="s">
        <v>36</v>
      </c>
      <c r="P66" s="86">
        <v>1790</v>
      </c>
      <c r="Q66" s="1">
        <f t="shared" si="41"/>
        <v>716</v>
      </c>
      <c r="R66">
        <f t="shared" si="40"/>
        <v>1574</v>
      </c>
      <c r="S66" s="6">
        <v>40808</v>
      </c>
      <c r="T66" s="61"/>
      <c r="U66" s="61">
        <f t="shared" si="22"/>
        <v>89.31</v>
      </c>
      <c r="V66" s="7" t="str">
        <f t="shared" si="23"/>
        <v>PAYPAL</v>
      </c>
      <c r="W66" s="56">
        <v>2</v>
      </c>
      <c r="X66" s="5" t="s">
        <v>351</v>
      </c>
      <c r="Y66" s="1">
        <f t="shared" si="42"/>
        <v>2290</v>
      </c>
      <c r="Z66" s="1"/>
      <c r="AA66" s="1">
        <f t="shared" si="24"/>
        <v>0</v>
      </c>
      <c r="AB66" s="1">
        <f t="shared" si="36"/>
        <v>130</v>
      </c>
      <c r="AC66" s="1"/>
      <c r="AD66">
        <f t="shared" si="43"/>
        <v>1660</v>
      </c>
      <c r="AE66" s="1"/>
      <c r="AF66" s="1">
        <f t="shared" si="25"/>
        <v>30</v>
      </c>
      <c r="AG66" s="1">
        <f t="shared" si="26"/>
        <v>1630</v>
      </c>
      <c r="AH66" s="1">
        <f t="shared" si="27"/>
        <v>1630</v>
      </c>
      <c r="AJ66">
        <f t="shared" si="28"/>
        <v>0</v>
      </c>
      <c r="AK66">
        <f t="shared" si="29"/>
        <v>0</v>
      </c>
      <c r="AL66">
        <f t="shared" si="30"/>
        <v>0</v>
      </c>
      <c r="AM66">
        <f t="shared" si="31"/>
        <v>0</v>
      </c>
      <c r="AO66">
        <f t="shared" si="32"/>
        <v>0</v>
      </c>
      <c r="AP66">
        <f t="shared" si="33"/>
        <v>0</v>
      </c>
      <c r="AQ66">
        <f t="shared" si="34"/>
        <v>0</v>
      </c>
      <c r="AR66">
        <f t="shared" si="35"/>
        <v>0</v>
      </c>
    </row>
    <row r="67" spans="1:45" x14ac:dyDescent="0.25">
      <c r="B67" t="s">
        <v>330</v>
      </c>
      <c r="C67" t="s">
        <v>65</v>
      </c>
      <c r="E67" t="s">
        <v>30</v>
      </c>
      <c r="F67">
        <f>IF(E67=$B$12,I67,0)</f>
        <v>0</v>
      </c>
      <c r="G67">
        <f>IF(F67&gt;0,0,1)</f>
        <v>1</v>
      </c>
      <c r="H67" t="s">
        <v>329</v>
      </c>
      <c r="I67">
        <v>10</v>
      </c>
      <c r="K67" t="s">
        <v>365</v>
      </c>
      <c r="L67" t="s">
        <v>55</v>
      </c>
      <c r="M67" s="5">
        <v>0</v>
      </c>
      <c r="N67" s="4" t="s">
        <v>36</v>
      </c>
      <c r="P67" s="86">
        <v>1852</v>
      </c>
      <c r="Q67" s="1">
        <f>ROUND((P67*0.4),0)</f>
        <v>741</v>
      </c>
      <c r="R67">
        <f>IF(P67&gt;0,((P67+500)-Q67)+U67,0)</f>
        <v>1703</v>
      </c>
      <c r="S67" s="6" t="s">
        <v>34</v>
      </c>
      <c r="T67" s="61">
        <v>4</v>
      </c>
      <c r="U67" s="61">
        <f>IF(V67=$AE$2,47,IF(V67=$AE$1,ROUND(((P67+500)*0.039),0),IF(V67=$AE$3,0)))</f>
        <v>92</v>
      </c>
      <c r="V67" s="7" t="str">
        <f>IF(W67=1,$AE$2,IF(W67=2,$AE$1,IF(AND(W67&lt;&gt;1,W67&lt;&gt;20)=TRUE,$AE$3)))</f>
        <v>PAYPAL</v>
      </c>
      <c r="W67" s="56">
        <v>2</v>
      </c>
      <c r="X67" s="87" t="s">
        <v>366</v>
      </c>
      <c r="Y67" s="61">
        <f>R67+Q67</f>
        <v>2444</v>
      </c>
      <c r="Z67" s="61"/>
      <c r="AA67" s="1">
        <f>IF(X67=$AA$1,R67-500,0)</f>
        <v>0</v>
      </c>
      <c r="AB67" s="1">
        <f>IF(I67&gt;0,130,0)</f>
        <v>130</v>
      </c>
      <c r="AC67" s="1"/>
      <c r="AD67" s="65">
        <f>(P67+U67)-AB67</f>
        <v>1814</v>
      </c>
      <c r="AE67" s="1"/>
      <c r="AF67" s="1">
        <f>IF(I67&gt;0,30*G67,0)</f>
        <v>30</v>
      </c>
      <c r="AG67" s="1">
        <f>IF(AH67&gt;0,AH35:AH67,0)</f>
        <v>1784</v>
      </c>
      <c r="AH67" s="1">
        <f t="shared" si="27"/>
        <v>1784</v>
      </c>
      <c r="AJ67">
        <f t="shared" si="28"/>
        <v>0</v>
      </c>
      <c r="AK67">
        <f t="shared" si="29"/>
        <v>0</v>
      </c>
      <c r="AL67">
        <f t="shared" si="30"/>
        <v>0</v>
      </c>
      <c r="AM67">
        <f t="shared" si="31"/>
        <v>1852</v>
      </c>
      <c r="AO67">
        <f t="shared" si="32"/>
        <v>0</v>
      </c>
      <c r="AP67">
        <f t="shared" si="33"/>
        <v>0</v>
      </c>
      <c r="AQ67">
        <f t="shared" si="34"/>
        <v>0</v>
      </c>
      <c r="AR67">
        <f t="shared" si="35"/>
        <v>1852</v>
      </c>
    </row>
    <row r="68" spans="1:45" x14ac:dyDescent="0.25">
      <c r="B68" t="s">
        <v>280</v>
      </c>
      <c r="C68" t="s">
        <v>281</v>
      </c>
      <c r="E68" t="s">
        <v>30</v>
      </c>
      <c r="F68">
        <f t="shared" si="9"/>
        <v>0</v>
      </c>
      <c r="G68">
        <f t="shared" si="21"/>
        <v>1</v>
      </c>
      <c r="H68" t="s">
        <v>282</v>
      </c>
      <c r="I68">
        <v>8</v>
      </c>
      <c r="K68" t="s">
        <v>40</v>
      </c>
      <c r="L68" t="s">
        <v>55</v>
      </c>
      <c r="M68" s="5">
        <v>0</v>
      </c>
      <c r="N68" s="4" t="s">
        <v>36</v>
      </c>
      <c r="P68" s="86">
        <v>1532</v>
      </c>
      <c r="Q68" s="1">
        <f>ROUND((P68*0.4),0)</f>
        <v>613</v>
      </c>
      <c r="R68">
        <f>IF(P68&gt;0,((P68+500)-Q68)+U68,0)</f>
        <v>1498</v>
      </c>
      <c r="S68" s="6" t="s">
        <v>283</v>
      </c>
      <c r="T68" s="61">
        <v>4</v>
      </c>
      <c r="U68" s="61">
        <f>IF(V68=$AE$2,47,IF(V68=$AE$1,ROUND(((P68+500)*0.039),0),IF(V68=$AE$3,0)))</f>
        <v>79</v>
      </c>
      <c r="V68" s="7" t="str">
        <f t="shared" si="23"/>
        <v>PAYPAL</v>
      </c>
      <c r="W68" s="56">
        <v>2</v>
      </c>
      <c r="X68" s="87" t="s">
        <v>351</v>
      </c>
      <c r="Y68" s="61">
        <f>R68+Q68</f>
        <v>2111</v>
      </c>
      <c r="Z68" s="61"/>
      <c r="AA68" s="1">
        <f t="shared" si="24"/>
        <v>0</v>
      </c>
      <c r="AB68" s="1">
        <f t="shared" si="36"/>
        <v>130</v>
      </c>
      <c r="AC68" s="1"/>
      <c r="AD68" s="65">
        <f>(P68+U68)-AB68</f>
        <v>1481</v>
      </c>
      <c r="AE68" s="1"/>
      <c r="AF68" s="1">
        <f t="shared" si="25"/>
        <v>30</v>
      </c>
      <c r="AG68" s="1">
        <f>IF(AH68&gt;0,AH50:AH68,0)</f>
        <v>1451</v>
      </c>
      <c r="AH68" s="1">
        <f t="shared" si="27"/>
        <v>1451</v>
      </c>
      <c r="AJ68">
        <f t="shared" si="28"/>
        <v>0</v>
      </c>
      <c r="AK68">
        <f t="shared" si="29"/>
        <v>0</v>
      </c>
      <c r="AL68">
        <f t="shared" si="30"/>
        <v>0</v>
      </c>
      <c r="AM68">
        <f t="shared" si="31"/>
        <v>1532</v>
      </c>
      <c r="AO68">
        <f t="shared" si="32"/>
        <v>0</v>
      </c>
      <c r="AP68">
        <f t="shared" si="33"/>
        <v>0</v>
      </c>
      <c r="AQ68">
        <f t="shared" si="34"/>
        <v>0</v>
      </c>
      <c r="AR68">
        <f t="shared" si="35"/>
        <v>1532</v>
      </c>
    </row>
    <row r="69" spans="1:45" x14ac:dyDescent="0.25">
      <c r="B69" t="s">
        <v>277</v>
      </c>
      <c r="C69" t="s">
        <v>273</v>
      </c>
      <c r="E69" t="s">
        <v>180</v>
      </c>
      <c r="F69">
        <f t="shared" si="9"/>
        <v>0</v>
      </c>
      <c r="G69">
        <f t="shared" si="21"/>
        <v>1</v>
      </c>
      <c r="H69" t="s">
        <v>274</v>
      </c>
      <c r="I69">
        <v>6</v>
      </c>
      <c r="K69" t="s">
        <v>275</v>
      </c>
      <c r="L69" t="s">
        <v>55</v>
      </c>
      <c r="M69" s="5">
        <v>0</v>
      </c>
      <c r="N69" s="4" t="s">
        <v>36</v>
      </c>
      <c r="P69" s="86">
        <v>1348</v>
      </c>
      <c r="Q69" s="1">
        <f>ROUND((P69*0.4),0)</f>
        <v>539</v>
      </c>
      <c r="R69">
        <f>IF(P69&gt;0,((P69+500)-Q69)+U69,0)</f>
        <v>1381</v>
      </c>
      <c r="S69" s="6">
        <v>40841</v>
      </c>
      <c r="T69" s="61">
        <v>4</v>
      </c>
      <c r="U69" s="61">
        <f>IF(V69=$AE$2,47,IF(V69=$AE$1,ROUND(((P69+500)*0.039),0),IF(V69=$AE$3,0)))</f>
        <v>72</v>
      </c>
      <c r="V69" s="7" t="str">
        <f t="shared" si="23"/>
        <v>PAYPAL</v>
      </c>
      <c r="W69" s="56">
        <v>2</v>
      </c>
      <c r="X69" s="5" t="s">
        <v>351</v>
      </c>
      <c r="Y69" s="61">
        <f>R69+Q69</f>
        <v>1920</v>
      </c>
      <c r="Z69" s="61"/>
      <c r="AA69" s="1">
        <f t="shared" si="24"/>
        <v>0</v>
      </c>
      <c r="AB69" s="1">
        <f t="shared" si="36"/>
        <v>130</v>
      </c>
      <c r="AC69" s="1"/>
      <c r="AD69" s="65">
        <f>(P69+U69)-AB69</f>
        <v>1290</v>
      </c>
      <c r="AE69" s="1"/>
      <c r="AF69" s="1">
        <f t="shared" si="25"/>
        <v>30</v>
      </c>
      <c r="AG69" s="1">
        <f>IF(AH69&gt;0,AH50:AH69,0)</f>
        <v>1260</v>
      </c>
      <c r="AH69" s="1">
        <f t="shared" si="27"/>
        <v>1260</v>
      </c>
      <c r="AJ69">
        <f t="shared" si="28"/>
        <v>0</v>
      </c>
      <c r="AK69">
        <f t="shared" si="29"/>
        <v>0</v>
      </c>
      <c r="AL69">
        <f t="shared" si="30"/>
        <v>0</v>
      </c>
      <c r="AM69">
        <f t="shared" si="31"/>
        <v>1348</v>
      </c>
      <c r="AO69">
        <f t="shared" si="32"/>
        <v>0</v>
      </c>
      <c r="AP69">
        <f t="shared" si="33"/>
        <v>0</v>
      </c>
      <c r="AQ69">
        <f t="shared" si="34"/>
        <v>0</v>
      </c>
      <c r="AR69">
        <f t="shared" si="35"/>
        <v>1348</v>
      </c>
    </row>
    <row r="70" spans="1:45" x14ac:dyDescent="0.25">
      <c r="B70" s="83" t="s">
        <v>82</v>
      </c>
      <c r="C70" s="8" t="s">
        <v>41</v>
      </c>
      <c r="D70" s="8"/>
      <c r="E70" t="s">
        <v>42</v>
      </c>
      <c r="F70">
        <f t="shared" si="9"/>
        <v>5</v>
      </c>
      <c r="G70">
        <f t="shared" si="21"/>
        <v>0</v>
      </c>
      <c r="H70" t="s">
        <v>244</v>
      </c>
      <c r="I70">
        <v>5</v>
      </c>
      <c r="K70" t="s">
        <v>63</v>
      </c>
      <c r="L70" t="s">
        <v>55</v>
      </c>
      <c r="M70" s="5">
        <v>3</v>
      </c>
      <c r="N70" s="4" t="s">
        <v>36</v>
      </c>
      <c r="P70" s="44">
        <v>0</v>
      </c>
      <c r="Q70" s="1">
        <v>0</v>
      </c>
      <c r="R70">
        <f t="shared" si="40"/>
        <v>0</v>
      </c>
      <c r="S70" s="6" t="s">
        <v>42</v>
      </c>
      <c r="T70" s="61"/>
      <c r="U70" s="61">
        <f t="shared" si="22"/>
        <v>0</v>
      </c>
      <c r="V70" s="7" t="str">
        <f t="shared" si="23"/>
        <v>NONE</v>
      </c>
      <c r="W70" s="56"/>
      <c r="X70" s="5"/>
      <c r="Y70" s="1">
        <f t="shared" si="19"/>
        <v>0</v>
      </c>
      <c r="Z70" s="1"/>
      <c r="AA70" s="1">
        <f t="shared" si="24"/>
        <v>0</v>
      </c>
      <c r="AB70" s="1">
        <f t="shared" si="36"/>
        <v>130</v>
      </c>
      <c r="AC70" s="1"/>
      <c r="AD70">
        <f>P70-AB70</f>
        <v>-130</v>
      </c>
      <c r="AE70" s="1"/>
      <c r="AF70" s="1">
        <f t="shared" si="25"/>
        <v>0</v>
      </c>
      <c r="AG70" s="1">
        <f t="shared" si="26"/>
        <v>0</v>
      </c>
      <c r="AH70" s="1">
        <f t="shared" si="27"/>
        <v>-130</v>
      </c>
      <c r="AJ70">
        <f t="shared" si="28"/>
        <v>0</v>
      </c>
      <c r="AK70">
        <f t="shared" si="29"/>
        <v>0</v>
      </c>
      <c r="AL70">
        <f t="shared" si="30"/>
        <v>0</v>
      </c>
      <c r="AM70">
        <f t="shared" si="31"/>
        <v>0</v>
      </c>
      <c r="AO70">
        <f t="shared" si="32"/>
        <v>0</v>
      </c>
      <c r="AP70">
        <f t="shared" si="33"/>
        <v>0</v>
      </c>
      <c r="AQ70">
        <f t="shared" si="34"/>
        <v>0</v>
      </c>
      <c r="AR70">
        <f t="shared" si="35"/>
        <v>0</v>
      </c>
    </row>
    <row r="71" spans="1:45" x14ac:dyDescent="0.25">
      <c r="C71" s="8"/>
      <c r="D71" s="8"/>
      <c r="F71">
        <f t="shared" si="9"/>
        <v>0</v>
      </c>
      <c r="G71">
        <f t="shared" si="21"/>
        <v>1</v>
      </c>
      <c r="I71">
        <v>0</v>
      </c>
      <c r="N71" s="4"/>
      <c r="P71" s="44">
        <v>0</v>
      </c>
      <c r="Q71" s="1">
        <f>ROUND((P71*0.4),0)</f>
        <v>0</v>
      </c>
      <c r="R71">
        <f>IF(P71&gt;0,((P71+500)-Q71)+U71,0)</f>
        <v>0</v>
      </c>
      <c r="S71" s="6"/>
      <c r="T71" s="61"/>
      <c r="U71" s="61">
        <f>IF(V71=$AE$2,47,IF(V71=$AE$1,ROUND(((P71+500)*0.039),0),IF(V71=$AE$3,0)))</f>
        <v>0</v>
      </c>
      <c r="V71" s="7" t="str">
        <f t="shared" si="23"/>
        <v>NONE</v>
      </c>
      <c r="W71" s="56"/>
      <c r="X71" s="5"/>
      <c r="Y71" s="61">
        <f t="shared" si="19"/>
        <v>0</v>
      </c>
      <c r="Z71" s="61"/>
      <c r="AA71" s="1">
        <f t="shared" si="24"/>
        <v>0</v>
      </c>
      <c r="AB71" s="1">
        <f>IF(I71&gt;0,150,0)</f>
        <v>0</v>
      </c>
      <c r="AC71" s="1"/>
      <c r="AD71" s="65">
        <f>(P71+U71)-AB71</f>
        <v>0</v>
      </c>
      <c r="AE71" s="1"/>
      <c r="AF71" s="1">
        <f t="shared" si="25"/>
        <v>0</v>
      </c>
      <c r="AG71" s="1">
        <f t="shared" si="26"/>
        <v>0</v>
      </c>
      <c r="AH71" s="1">
        <f t="shared" si="27"/>
        <v>0</v>
      </c>
      <c r="AJ71">
        <f t="shared" si="28"/>
        <v>0</v>
      </c>
      <c r="AK71">
        <f t="shared" si="29"/>
        <v>0</v>
      </c>
      <c r="AL71">
        <f t="shared" si="30"/>
        <v>0</v>
      </c>
      <c r="AM71">
        <f t="shared" si="31"/>
        <v>0</v>
      </c>
      <c r="AO71">
        <f t="shared" si="32"/>
        <v>0</v>
      </c>
      <c r="AP71">
        <f t="shared" si="33"/>
        <v>0</v>
      </c>
      <c r="AQ71">
        <f t="shared" si="34"/>
        <v>0</v>
      </c>
      <c r="AR71">
        <f t="shared" si="35"/>
        <v>0</v>
      </c>
    </row>
    <row r="72" spans="1:45" x14ac:dyDescent="0.25">
      <c r="C72" s="78"/>
      <c r="D72" s="78"/>
      <c r="F72">
        <f t="shared" si="9"/>
        <v>0</v>
      </c>
      <c r="G72">
        <f t="shared" si="21"/>
        <v>1</v>
      </c>
      <c r="I72">
        <v>0</v>
      </c>
      <c r="N72" s="4"/>
      <c r="P72" s="44">
        <v>0</v>
      </c>
      <c r="Q72" s="1">
        <f>ROUND((P72*0.4),0)</f>
        <v>0</v>
      </c>
      <c r="R72">
        <f>IF(P72&gt;0,((P72+500)-Q72)+U72,0)</f>
        <v>0</v>
      </c>
      <c r="S72" s="6"/>
      <c r="T72" s="61"/>
      <c r="U72" s="61">
        <f>IF(V72=$AE$2,47,IF(V72=$AE$1,ROUND(((P72+500)*0.039),0),IF(V72=$AE$3,0)))</f>
        <v>0</v>
      </c>
      <c r="V72" s="7" t="str">
        <f t="shared" si="23"/>
        <v>NONE</v>
      </c>
      <c r="W72" s="56"/>
      <c r="X72" s="5"/>
      <c r="Y72" s="61">
        <f t="shared" si="19"/>
        <v>0</v>
      </c>
      <c r="Z72" s="61"/>
      <c r="AA72" s="1">
        <f t="shared" si="24"/>
        <v>0</v>
      </c>
      <c r="AB72" s="1">
        <f>IF(I72&gt;0,150,0)</f>
        <v>0</v>
      </c>
      <c r="AC72" s="1"/>
      <c r="AD72" s="65">
        <f>(P72+U72)-AB72</f>
        <v>0</v>
      </c>
      <c r="AE72" s="1"/>
      <c r="AF72" s="1">
        <f t="shared" si="25"/>
        <v>0</v>
      </c>
      <c r="AG72" s="1">
        <f t="shared" si="26"/>
        <v>0</v>
      </c>
      <c r="AH72" s="1">
        <f t="shared" si="27"/>
        <v>0</v>
      </c>
      <c r="AJ72">
        <f t="shared" si="28"/>
        <v>0</v>
      </c>
      <c r="AK72">
        <f t="shared" si="29"/>
        <v>0</v>
      </c>
      <c r="AL72">
        <f t="shared" si="30"/>
        <v>0</v>
      </c>
      <c r="AM72">
        <f t="shared" si="31"/>
        <v>0</v>
      </c>
      <c r="AO72">
        <f t="shared" si="32"/>
        <v>0</v>
      </c>
      <c r="AP72">
        <f t="shared" si="33"/>
        <v>0</v>
      </c>
      <c r="AQ72">
        <f t="shared" si="34"/>
        <v>0</v>
      </c>
      <c r="AR72">
        <f t="shared" si="35"/>
        <v>0</v>
      </c>
    </row>
    <row r="73" spans="1:45" x14ac:dyDescent="0.25">
      <c r="A73" s="40"/>
      <c r="B73" s="155">
        <f>COUNTIFS(E36:E72,"&lt;&gt;NA")-COUNTIFS(E36:E72,"="&amp;$E$1)</f>
        <v>24</v>
      </c>
      <c r="C73" s="140" t="s">
        <v>472</v>
      </c>
      <c r="D73" s="140"/>
      <c r="E73" s="40">
        <f>SUM(F36:F72)</f>
        <v>92</v>
      </c>
      <c r="F73" s="40"/>
      <c r="G73" s="40"/>
      <c r="H73" s="54" t="s">
        <v>215</v>
      </c>
      <c r="I73" s="53">
        <f>SUM(I36:I72)-SUM(F36:F72)</f>
        <v>216</v>
      </c>
      <c r="J73" s="53"/>
      <c r="K73" s="52">
        <f>ROUND(I73/7,0)</f>
        <v>31</v>
      </c>
      <c r="L73" s="52" t="s">
        <v>214</v>
      </c>
      <c r="M73" s="54" t="s">
        <v>216</v>
      </c>
      <c r="N73" s="123">
        <f>ROUND(AG73/K73,0)</f>
        <v>1325</v>
      </c>
      <c r="O73" s="40"/>
      <c r="P73" s="71">
        <f>SUM(P36:P72)</f>
        <v>44521.279999999999</v>
      </c>
      <c r="Q73" s="43"/>
      <c r="R73" s="69">
        <f>AA73</f>
        <v>0</v>
      </c>
      <c r="S73" s="68" t="s">
        <v>254</v>
      </c>
      <c r="T73" s="101"/>
      <c r="U73" s="62"/>
      <c r="V73" s="42"/>
      <c r="W73" s="58"/>
      <c r="X73" s="41"/>
      <c r="Y73" s="43"/>
      <c r="Z73" s="43">
        <f>AA73</f>
        <v>0</v>
      </c>
      <c r="AA73" s="43">
        <f>SUM(AA36:AA72)</f>
        <v>0</v>
      </c>
      <c r="AB73" s="43">
        <f>SUM(AB36:AB72)</f>
        <v>4460</v>
      </c>
      <c r="AC73" s="43">
        <f>AB73</f>
        <v>4460</v>
      </c>
      <c r="AD73" s="40"/>
      <c r="AE73" s="43"/>
      <c r="AF73" s="43">
        <f>SUM(AF36:AF72)</f>
        <v>720</v>
      </c>
      <c r="AG73" s="43">
        <f>SUM(AG36:AG72)</f>
        <v>41074.28</v>
      </c>
      <c r="AH73" s="71">
        <f>SUM(AH36:AH72)</f>
        <v>39734.28</v>
      </c>
      <c r="AI73" s="40">
        <f>AH73</f>
        <v>39734.28</v>
      </c>
      <c r="AJ73" s="104">
        <f>SUM(AJ36:AJ72)</f>
        <v>7092</v>
      </c>
      <c r="AK73" s="104">
        <f>SUM(AK36:AK72)</f>
        <v>13747.279999999999</v>
      </c>
      <c r="AL73" s="104">
        <f>SUM(AL36:AL72)</f>
        <v>11535</v>
      </c>
      <c r="AM73" s="104">
        <f>SUM(AM36:AM72)</f>
        <v>10357</v>
      </c>
      <c r="AN73" s="106">
        <f>SUM(AJ73:AM73)</f>
        <v>42731.28</v>
      </c>
      <c r="AO73" s="104">
        <f>SUM(AO36:AO72)</f>
        <v>7092</v>
      </c>
      <c r="AP73" s="104">
        <f>SUM(AP36:AP72)</f>
        <v>13747.279999999999</v>
      </c>
      <c r="AQ73" s="104">
        <f>SUM(AQ36:AQ72)</f>
        <v>11535</v>
      </c>
      <c r="AR73" s="104">
        <f>SUM(AR36:AR72)</f>
        <v>10357</v>
      </c>
      <c r="AS73" s="106">
        <f>SUM(AO73:AR73)</f>
        <v>42731.28</v>
      </c>
    </row>
    <row r="74" spans="1:45" ht="23.25" x14ac:dyDescent="0.35">
      <c r="A74" s="27"/>
      <c r="B74" s="25">
        <v>2012</v>
      </c>
      <c r="C74" s="26"/>
      <c r="D74" s="26"/>
      <c r="E74" s="27"/>
      <c r="F74" s="27"/>
      <c r="G74" s="27"/>
      <c r="H74" s="27"/>
      <c r="I74" s="27"/>
      <c r="J74" s="27"/>
      <c r="K74" s="27"/>
      <c r="L74" s="27"/>
      <c r="M74" s="28"/>
      <c r="N74" s="29"/>
      <c r="O74" s="27"/>
      <c r="P74" s="30"/>
      <c r="Q74" s="30"/>
      <c r="R74" s="27"/>
      <c r="S74" s="31"/>
      <c r="T74" s="60"/>
      <c r="U74" s="60"/>
      <c r="V74" s="32"/>
      <c r="W74" s="59"/>
      <c r="X74" s="28"/>
      <c r="Y74" s="30"/>
      <c r="Z74" s="30"/>
      <c r="AA74" s="30"/>
      <c r="AB74" s="30"/>
      <c r="AC74" s="30"/>
      <c r="AD74" s="27"/>
      <c r="AE74" s="30"/>
      <c r="AF74" s="30"/>
      <c r="AG74" s="30"/>
      <c r="AH74" s="30"/>
      <c r="AJ74" s="96">
        <f>ROUNDUP(AJ73*0.04,0)</f>
        <v>284</v>
      </c>
      <c r="AK74" s="96">
        <f>ROUNDUP(AK73*0.04,0)</f>
        <v>550</v>
      </c>
      <c r="AL74" s="96">
        <f>ROUNDUP(AL73*0.04,0)</f>
        <v>462</v>
      </c>
      <c r="AM74" s="96">
        <f>ROUNDUP(AM73*0.04,0)</f>
        <v>415</v>
      </c>
      <c r="AN74" s="106">
        <f>SUM(AJ74:AM74)</f>
        <v>1711</v>
      </c>
      <c r="AO74" s="96">
        <f>ROUNDUP(AO73*0.06,0)</f>
        <v>426</v>
      </c>
      <c r="AP74" s="96">
        <f>ROUNDUP(AP73*0.06,0)</f>
        <v>825</v>
      </c>
      <c r="AQ74" s="96">
        <f>ROUNDUP(AQ73*0.06,0)</f>
        <v>693</v>
      </c>
      <c r="AR74" s="96">
        <f>ROUNDUP(AR73*0.06,0)</f>
        <v>622</v>
      </c>
      <c r="AS74" s="106">
        <f>SUM(AO74:AR74)</f>
        <v>2566</v>
      </c>
    </row>
    <row r="75" spans="1:45" x14ac:dyDescent="0.25">
      <c r="B75" s="83" t="s">
        <v>82</v>
      </c>
      <c r="C75" s="8" t="s">
        <v>41</v>
      </c>
      <c r="D75" s="8"/>
      <c r="E75" t="s">
        <v>42</v>
      </c>
      <c r="F75">
        <f>IF(E75=$B$12,I75,0)</f>
        <v>58</v>
      </c>
      <c r="G75">
        <f>IF(F75&gt;0,0,1)</f>
        <v>0</v>
      </c>
      <c r="H75" t="s">
        <v>245</v>
      </c>
      <c r="I75">
        <v>58</v>
      </c>
      <c r="K75" t="s">
        <v>143</v>
      </c>
      <c r="L75" t="s">
        <v>55</v>
      </c>
      <c r="M75" s="5">
        <v>3</v>
      </c>
      <c r="N75" s="4" t="s">
        <v>36</v>
      </c>
      <c r="P75" s="44">
        <v>0</v>
      </c>
      <c r="Q75" s="1">
        <v>0</v>
      </c>
      <c r="R75">
        <f>IF(P75&gt;0,((P75+500)-Q75),0)</f>
        <v>0</v>
      </c>
      <c r="S75" s="6" t="s">
        <v>42</v>
      </c>
      <c r="T75" s="61">
        <v>1</v>
      </c>
      <c r="U75" s="61">
        <f>IF(V75=$AE$2,47,IF(V75=$AE$1,ROUND(((R75+Q75)*0.039),0),IF(V75=$AE$3,0)))</f>
        <v>0</v>
      </c>
      <c r="V75" s="7" t="str">
        <f t="shared" ref="V75:V89" si="44">IF(W75=1,$AE$2,IF(W75=2,$AE$1,IF(AND(W75&lt;&gt;1,W75&lt;&gt;20)=TRUE,$AE$3)))</f>
        <v>NONE</v>
      </c>
      <c r="W75" s="56"/>
      <c r="X75" s="5"/>
      <c r="Y75" s="1">
        <f>R75+Q75</f>
        <v>0</v>
      </c>
      <c r="Z75" s="1"/>
      <c r="AA75" s="1">
        <f t="shared" ref="AA75:AA89" si="45">IF(X75=$AA$1,R75-500,0)</f>
        <v>0</v>
      </c>
      <c r="AB75" s="1">
        <f t="shared" ref="AB75:AB89" si="46">IF(I75&gt;0,130,0)</f>
        <v>130</v>
      </c>
      <c r="AC75" s="1"/>
      <c r="AD75">
        <f>P75-AB75</f>
        <v>-130</v>
      </c>
      <c r="AE75" s="1"/>
      <c r="AF75" s="1">
        <f t="shared" ref="AF75:AF89" si="47">IF(I75&gt;0,30*G75,0)</f>
        <v>0</v>
      </c>
      <c r="AG75" s="1">
        <f>IF(AH75&gt;0,AH75,0)</f>
        <v>0</v>
      </c>
      <c r="AH75" s="1">
        <f t="shared" ref="AH75:AH107" si="48">AD75-AF75</f>
        <v>-130</v>
      </c>
      <c r="AJ75">
        <f t="shared" ref="AJ75:AJ107" si="49">IF(T75=1,P75,0)</f>
        <v>0</v>
      </c>
      <c r="AK75">
        <f t="shared" ref="AK75:AK107" si="50">IF(T75=2,P75,0)</f>
        <v>0</v>
      </c>
      <c r="AL75">
        <f t="shared" ref="AL75:AL107" si="51">IF(T75=3,P75,0)</f>
        <v>0</v>
      </c>
      <c r="AM75">
        <f t="shared" ref="AM75:AM107" si="52">IF(T75=4,P75,0)</f>
        <v>0</v>
      </c>
      <c r="AO75">
        <f t="shared" ref="AO75:AO107" si="53">IF(T75=1,P75,0)</f>
        <v>0</v>
      </c>
      <c r="AP75">
        <f t="shared" ref="AP75:AP107" si="54">IF(T75=2,P75,0)</f>
        <v>0</v>
      </c>
      <c r="AQ75">
        <f t="shared" ref="AQ75:AQ107" si="55">IF(T75=3,P75,0)</f>
        <v>0</v>
      </c>
      <c r="AR75">
        <f t="shared" ref="AR75:AR107" si="56">IF(T75=4,P75,0)</f>
        <v>0</v>
      </c>
    </row>
    <row r="76" spans="1:45" ht="16.5" customHeight="1" x14ac:dyDescent="0.25">
      <c r="B76" t="s">
        <v>321</v>
      </c>
      <c r="C76" t="s">
        <v>209</v>
      </c>
      <c r="E76" t="s">
        <v>30</v>
      </c>
      <c r="F76">
        <f>IF(E76=$B$12,I76,0)</f>
        <v>0</v>
      </c>
      <c r="G76">
        <f>IF(F76&gt;0,0,1)</f>
        <v>1</v>
      </c>
      <c r="H76" t="s">
        <v>210</v>
      </c>
      <c r="I76">
        <v>14</v>
      </c>
      <c r="K76" t="s">
        <v>108</v>
      </c>
      <c r="L76" t="s">
        <v>55</v>
      </c>
      <c r="M76" s="5">
        <v>0</v>
      </c>
      <c r="N76" s="4" t="s">
        <v>36</v>
      </c>
      <c r="P76" s="44">
        <v>2751</v>
      </c>
      <c r="Q76" s="1">
        <f t="shared" ref="Q76:Q82" si="57">ROUND((P76*0.4),0)</f>
        <v>1100</v>
      </c>
      <c r="R76">
        <f>IF(P76&gt;0,((P76+500)-Q76),0)</f>
        <v>2151</v>
      </c>
      <c r="S76" s="6" t="s">
        <v>211</v>
      </c>
      <c r="T76" s="61">
        <v>1</v>
      </c>
      <c r="U76" s="61">
        <f>IF(V76=$AE$2,47,IF(V76=$AE$1,ROUND(((R76+Q76)*0.039),0),IF(V76=$AE$3,0)))</f>
        <v>0</v>
      </c>
      <c r="V76" s="7" t="str">
        <f t="shared" si="44"/>
        <v>NONE</v>
      </c>
      <c r="W76" s="56"/>
      <c r="X76" s="5" t="s">
        <v>351</v>
      </c>
      <c r="Y76" s="1">
        <f>R76+Q76</f>
        <v>3251</v>
      </c>
      <c r="Z76" s="1"/>
      <c r="AA76" s="1">
        <f t="shared" si="45"/>
        <v>0</v>
      </c>
      <c r="AB76" s="1">
        <f t="shared" si="46"/>
        <v>130</v>
      </c>
      <c r="AC76" s="1"/>
      <c r="AD76">
        <f>P76-AB76</f>
        <v>2621</v>
      </c>
      <c r="AE76" s="1"/>
      <c r="AF76" s="1">
        <f t="shared" si="47"/>
        <v>30</v>
      </c>
      <c r="AG76" s="1">
        <f>IF(AH76&gt;0,AH76,0)</f>
        <v>2591</v>
      </c>
      <c r="AH76" s="1">
        <f t="shared" si="48"/>
        <v>2591</v>
      </c>
      <c r="AJ76">
        <f t="shared" si="49"/>
        <v>2751</v>
      </c>
      <c r="AK76">
        <f t="shared" si="50"/>
        <v>0</v>
      </c>
      <c r="AL76">
        <f t="shared" si="51"/>
        <v>0</v>
      </c>
      <c r="AM76">
        <f t="shared" si="52"/>
        <v>0</v>
      </c>
      <c r="AO76">
        <f t="shared" si="53"/>
        <v>2751</v>
      </c>
      <c r="AP76">
        <f t="shared" si="54"/>
        <v>0</v>
      </c>
      <c r="AQ76">
        <f t="shared" si="55"/>
        <v>0</v>
      </c>
      <c r="AR76">
        <f t="shared" si="56"/>
        <v>0</v>
      </c>
    </row>
    <row r="77" spans="1:45" x14ac:dyDescent="0.25">
      <c r="B77" s="98" t="s">
        <v>344</v>
      </c>
      <c r="C77" t="s">
        <v>345</v>
      </c>
      <c r="E77" t="s">
        <v>30</v>
      </c>
      <c r="F77">
        <f>IF(E77=$B$12,I77,0)</f>
        <v>0</v>
      </c>
      <c r="G77">
        <f>IF(F77&gt;0,0,1)</f>
        <v>1</v>
      </c>
      <c r="H77" t="s">
        <v>346</v>
      </c>
      <c r="I77">
        <v>14</v>
      </c>
      <c r="K77" t="s">
        <v>347</v>
      </c>
      <c r="L77" t="s">
        <v>55</v>
      </c>
      <c r="M77" s="5">
        <v>0</v>
      </c>
      <c r="N77" s="4" t="s">
        <v>36</v>
      </c>
      <c r="P77" s="44">
        <v>3012</v>
      </c>
      <c r="Q77" s="1">
        <f t="shared" si="57"/>
        <v>1205</v>
      </c>
      <c r="R77">
        <f t="shared" ref="R77:R82" si="58">IF(P77&gt;0,((P77+500)-Q77)+U77,0)</f>
        <v>2409</v>
      </c>
      <c r="S77" s="6" t="s">
        <v>348</v>
      </c>
      <c r="T77" s="61">
        <v>1</v>
      </c>
      <c r="U77" s="61">
        <f>IF(V77=$AE$2,47,IF(V77=$AE$1,ROUND(((P77+500)*0.029),0),IF(V77=$AE$3,0)))</f>
        <v>102</v>
      </c>
      <c r="V77" s="7" t="str">
        <f t="shared" si="44"/>
        <v>PAYPAL</v>
      </c>
      <c r="W77" s="56">
        <v>2</v>
      </c>
      <c r="X77" s="5" t="s">
        <v>388</v>
      </c>
      <c r="Y77" s="61">
        <f>R77+Q77</f>
        <v>3614</v>
      </c>
      <c r="Z77" s="61"/>
      <c r="AA77" s="1">
        <f t="shared" si="45"/>
        <v>0</v>
      </c>
      <c r="AB77" s="1">
        <f t="shared" si="46"/>
        <v>130</v>
      </c>
      <c r="AC77" s="1"/>
      <c r="AD77" s="65">
        <f>(P77+U77)-AB77</f>
        <v>2984</v>
      </c>
      <c r="AE77" s="1"/>
      <c r="AF77" s="1">
        <f t="shared" si="47"/>
        <v>30</v>
      </c>
      <c r="AG77" s="1">
        <f>IF(AH77&gt;0,AH77,0)</f>
        <v>2954</v>
      </c>
      <c r="AH77" s="1">
        <f t="shared" si="48"/>
        <v>2954</v>
      </c>
      <c r="AJ77">
        <f t="shared" si="49"/>
        <v>3012</v>
      </c>
      <c r="AK77">
        <f t="shared" si="50"/>
        <v>0</v>
      </c>
      <c r="AL77">
        <f t="shared" si="51"/>
        <v>0</v>
      </c>
      <c r="AM77">
        <f t="shared" si="52"/>
        <v>0</v>
      </c>
      <c r="AO77">
        <f t="shared" si="53"/>
        <v>3012</v>
      </c>
      <c r="AP77">
        <f t="shared" si="54"/>
        <v>0</v>
      </c>
      <c r="AQ77">
        <f t="shared" si="55"/>
        <v>0</v>
      </c>
      <c r="AR77">
        <f t="shared" si="56"/>
        <v>0</v>
      </c>
    </row>
    <row r="78" spans="1:45" x14ac:dyDescent="0.25">
      <c r="B78" t="s">
        <v>265</v>
      </c>
      <c r="C78" t="s">
        <v>266</v>
      </c>
      <c r="E78" t="s">
        <v>61</v>
      </c>
      <c r="F78">
        <f>IF(E78=$B$12,I78,0)</f>
        <v>0</v>
      </c>
      <c r="G78">
        <f>IF(F78&gt;0,0,1)</f>
        <v>1</v>
      </c>
      <c r="H78" t="s">
        <v>267</v>
      </c>
      <c r="I78">
        <v>7</v>
      </c>
      <c r="K78" t="s">
        <v>201</v>
      </c>
      <c r="L78" t="s">
        <v>55</v>
      </c>
      <c r="M78" s="5">
        <v>0</v>
      </c>
      <c r="N78" s="4" t="s">
        <v>36</v>
      </c>
      <c r="P78" s="44">
        <v>1663</v>
      </c>
      <c r="Q78" s="1">
        <f t="shared" si="57"/>
        <v>665</v>
      </c>
      <c r="R78">
        <f t="shared" si="58"/>
        <v>1582</v>
      </c>
      <c r="S78" s="6" t="s">
        <v>268</v>
      </c>
      <c r="T78" s="61">
        <v>1</v>
      </c>
      <c r="U78" s="61">
        <f>IF(V78=$AE$2,47,IF(V78=$AE$1,ROUND(((P78+500)*0.039),0),IF(V78=$AE$3,0)))</f>
        <v>84</v>
      </c>
      <c r="V78" s="7" t="str">
        <f t="shared" si="44"/>
        <v>PAYPAL</v>
      </c>
      <c r="W78" s="56">
        <v>2</v>
      </c>
      <c r="X78" s="5" t="s">
        <v>351</v>
      </c>
      <c r="Y78" s="1">
        <f>R78+Q78</f>
        <v>2247</v>
      </c>
      <c r="Z78" s="1"/>
      <c r="AA78" s="1">
        <f t="shared" si="45"/>
        <v>0</v>
      </c>
      <c r="AB78" s="1">
        <f t="shared" si="46"/>
        <v>130</v>
      </c>
      <c r="AC78" s="1"/>
      <c r="AD78">
        <f>P78-AB78</f>
        <v>1533</v>
      </c>
      <c r="AE78" s="1"/>
      <c r="AF78" s="1">
        <f t="shared" si="47"/>
        <v>30</v>
      </c>
      <c r="AG78" s="1">
        <f>IF(AH78&gt;0,AH78,0)</f>
        <v>1503</v>
      </c>
      <c r="AH78" s="1">
        <f t="shared" si="48"/>
        <v>1503</v>
      </c>
      <c r="AJ78">
        <f t="shared" si="49"/>
        <v>1663</v>
      </c>
      <c r="AK78">
        <f t="shared" si="50"/>
        <v>0</v>
      </c>
      <c r="AL78">
        <f t="shared" si="51"/>
        <v>0</v>
      </c>
      <c r="AM78">
        <f t="shared" si="52"/>
        <v>0</v>
      </c>
      <c r="AO78">
        <f t="shared" si="53"/>
        <v>1663</v>
      </c>
      <c r="AP78">
        <f t="shared" si="54"/>
        <v>0</v>
      </c>
      <c r="AQ78">
        <f t="shared" si="55"/>
        <v>0</v>
      </c>
      <c r="AR78">
        <f t="shared" si="56"/>
        <v>0</v>
      </c>
    </row>
    <row r="79" spans="1:45" ht="15.75" x14ac:dyDescent="0.25">
      <c r="B79" s="79" t="s">
        <v>284</v>
      </c>
      <c r="C79" t="s">
        <v>276</v>
      </c>
      <c r="E79" t="s">
        <v>30</v>
      </c>
      <c r="F79">
        <f>IF(E79=$B$12,I79,0)</f>
        <v>0</v>
      </c>
      <c r="G79">
        <f>IF(F79&gt;0,0,1)</f>
        <v>1</v>
      </c>
      <c r="H79" t="s">
        <v>285</v>
      </c>
      <c r="I79">
        <v>6</v>
      </c>
      <c r="K79" t="s">
        <v>143</v>
      </c>
      <c r="L79" t="s">
        <v>55</v>
      </c>
      <c r="M79" s="5">
        <v>0</v>
      </c>
      <c r="N79" s="4" t="s">
        <v>36</v>
      </c>
      <c r="P79" s="44">
        <v>1340</v>
      </c>
      <c r="Q79" s="1">
        <f t="shared" si="57"/>
        <v>536</v>
      </c>
      <c r="R79">
        <f t="shared" si="58"/>
        <v>1376</v>
      </c>
      <c r="S79" s="6" t="s">
        <v>286</v>
      </c>
      <c r="T79" s="61">
        <v>2</v>
      </c>
      <c r="U79" s="61">
        <f>IF(V79=$AE$2,47,IF(V79=$AE$1,ROUND(((P79+500)*0.039),0),IF(V79=$AE$3,0)))</f>
        <v>72</v>
      </c>
      <c r="V79" s="7" t="str">
        <f t="shared" si="44"/>
        <v>PAYPAL</v>
      </c>
      <c r="W79" s="56">
        <v>2</v>
      </c>
      <c r="X79" s="5" t="s">
        <v>351</v>
      </c>
      <c r="Y79" s="61">
        <f>R79+Q79</f>
        <v>1912</v>
      </c>
      <c r="Z79" s="61"/>
      <c r="AA79" s="1">
        <f t="shared" si="45"/>
        <v>0</v>
      </c>
      <c r="AB79" s="1">
        <f t="shared" si="46"/>
        <v>130</v>
      </c>
      <c r="AC79" s="1"/>
      <c r="AD79" s="65">
        <f>(P79+U79)-AB79</f>
        <v>1282</v>
      </c>
      <c r="AE79" s="1"/>
      <c r="AF79" s="1">
        <f t="shared" si="47"/>
        <v>30</v>
      </c>
      <c r="AG79" s="1">
        <f>IF(AH79&gt;0,AH61:AH79,0)</f>
        <v>1252</v>
      </c>
      <c r="AH79" s="1">
        <f t="shared" si="48"/>
        <v>1252</v>
      </c>
      <c r="AJ79">
        <f t="shared" si="49"/>
        <v>0</v>
      </c>
      <c r="AK79">
        <f t="shared" si="50"/>
        <v>1340</v>
      </c>
      <c r="AL79">
        <f t="shared" si="51"/>
        <v>0</v>
      </c>
      <c r="AM79">
        <f t="shared" si="52"/>
        <v>0</v>
      </c>
      <c r="AO79">
        <f t="shared" si="53"/>
        <v>0</v>
      </c>
      <c r="AP79">
        <f t="shared" si="54"/>
        <v>1340</v>
      </c>
      <c r="AQ79">
        <f t="shared" si="55"/>
        <v>0</v>
      </c>
      <c r="AR79">
        <f t="shared" si="56"/>
        <v>0</v>
      </c>
    </row>
    <row r="80" spans="1:45" x14ac:dyDescent="0.25">
      <c r="B80" s="82" t="s">
        <v>82</v>
      </c>
      <c r="C80" s="8" t="s">
        <v>278</v>
      </c>
      <c r="D80" s="8"/>
      <c r="E80" t="s">
        <v>42</v>
      </c>
      <c r="H80" t="s">
        <v>315</v>
      </c>
      <c r="I80">
        <v>7</v>
      </c>
      <c r="K80" t="s">
        <v>188</v>
      </c>
      <c r="L80" t="s">
        <v>55</v>
      </c>
      <c r="M80" s="5">
        <v>3</v>
      </c>
      <c r="N80" s="4" t="s">
        <v>36</v>
      </c>
      <c r="P80" s="44">
        <v>0</v>
      </c>
      <c r="Q80" s="1">
        <f t="shared" si="57"/>
        <v>0</v>
      </c>
      <c r="R80">
        <f t="shared" si="58"/>
        <v>0</v>
      </c>
      <c r="T80" s="61">
        <v>2</v>
      </c>
      <c r="U80" s="61">
        <v>0</v>
      </c>
      <c r="V80" s="7" t="str">
        <f t="shared" si="44"/>
        <v>NONE</v>
      </c>
      <c r="W80" s="56"/>
      <c r="X80" s="5"/>
      <c r="Y80" s="61">
        <f t="shared" ref="Y80:Y86" si="59">R80+Q80</f>
        <v>0</v>
      </c>
      <c r="Z80" s="61"/>
      <c r="AA80" s="1">
        <f t="shared" si="45"/>
        <v>0</v>
      </c>
      <c r="AB80" s="1">
        <f t="shared" si="46"/>
        <v>130</v>
      </c>
      <c r="AC80" s="1"/>
      <c r="AD80" s="65">
        <f>(P80+U80)-AB80</f>
        <v>-130</v>
      </c>
      <c r="AE80" s="1"/>
      <c r="AF80" s="1">
        <f t="shared" si="47"/>
        <v>0</v>
      </c>
      <c r="AG80" s="1">
        <f>IF(AH80&gt;0,AH63:AH80,0)</f>
        <v>0</v>
      </c>
      <c r="AH80" s="1">
        <f t="shared" si="48"/>
        <v>-130</v>
      </c>
      <c r="AJ80">
        <f t="shared" si="49"/>
        <v>0</v>
      </c>
      <c r="AK80">
        <f t="shared" si="50"/>
        <v>0</v>
      </c>
      <c r="AL80">
        <f t="shared" si="51"/>
        <v>0</v>
      </c>
      <c r="AM80">
        <f t="shared" si="52"/>
        <v>0</v>
      </c>
      <c r="AO80">
        <f t="shared" si="53"/>
        <v>0</v>
      </c>
      <c r="AP80">
        <f t="shared" si="54"/>
        <v>0</v>
      </c>
      <c r="AQ80">
        <f t="shared" si="55"/>
        <v>0</v>
      </c>
      <c r="AR80">
        <f t="shared" si="56"/>
        <v>0</v>
      </c>
    </row>
    <row r="81" spans="2:44" x14ac:dyDescent="0.25">
      <c r="B81" s="8" t="s">
        <v>385</v>
      </c>
      <c r="C81" t="s">
        <v>69</v>
      </c>
      <c r="E81" t="s">
        <v>30</v>
      </c>
      <c r="F81">
        <f t="shared" ref="F81:F89" si="60">IF(E81=$B$12,I81,0)</f>
        <v>0</v>
      </c>
      <c r="G81">
        <f t="shared" ref="G81:G89" si="61">IF(F81&gt;0,0,1)</f>
        <v>1</v>
      </c>
      <c r="H81" t="s">
        <v>299</v>
      </c>
      <c r="I81">
        <v>14</v>
      </c>
      <c r="K81" t="s">
        <v>300</v>
      </c>
      <c r="L81" t="s">
        <v>55</v>
      </c>
      <c r="M81" s="5">
        <v>0</v>
      </c>
      <c r="N81" s="4" t="s">
        <v>36</v>
      </c>
      <c r="P81" s="86">
        <v>2541</v>
      </c>
      <c r="Q81" s="1">
        <f t="shared" si="57"/>
        <v>1016</v>
      </c>
      <c r="R81">
        <f t="shared" si="58"/>
        <v>2025</v>
      </c>
      <c r="S81" s="6" t="s">
        <v>301</v>
      </c>
      <c r="T81" s="61">
        <v>2</v>
      </c>
      <c r="U81" s="61">
        <v>0</v>
      </c>
      <c r="V81" s="7" t="str">
        <f t="shared" si="44"/>
        <v>BANK</v>
      </c>
      <c r="W81" s="56">
        <v>1</v>
      </c>
      <c r="X81" s="5" t="s">
        <v>25</v>
      </c>
      <c r="Y81" s="61">
        <f t="shared" si="59"/>
        <v>3041</v>
      </c>
      <c r="Z81" s="61"/>
      <c r="AA81" s="1">
        <f t="shared" si="45"/>
        <v>0</v>
      </c>
      <c r="AB81" s="1">
        <f t="shared" si="46"/>
        <v>130</v>
      </c>
      <c r="AC81" s="1"/>
      <c r="AD81" s="65">
        <f>(P81+U81)-AB81</f>
        <v>2411</v>
      </c>
      <c r="AE81" s="1"/>
      <c r="AF81" s="1">
        <f t="shared" si="47"/>
        <v>30</v>
      </c>
      <c r="AG81" s="1">
        <f>IF(AH81&gt;0,AH65:AH81,0)</f>
        <v>2381</v>
      </c>
      <c r="AH81" s="1">
        <f t="shared" si="48"/>
        <v>2381</v>
      </c>
      <c r="AJ81">
        <f t="shared" si="49"/>
        <v>0</v>
      </c>
      <c r="AK81">
        <f t="shared" si="50"/>
        <v>2541</v>
      </c>
      <c r="AL81">
        <f t="shared" si="51"/>
        <v>0</v>
      </c>
      <c r="AM81">
        <f t="shared" si="52"/>
        <v>0</v>
      </c>
      <c r="AO81">
        <f t="shared" si="53"/>
        <v>0</v>
      </c>
      <c r="AP81">
        <f t="shared" si="54"/>
        <v>2541</v>
      </c>
      <c r="AQ81">
        <f t="shared" si="55"/>
        <v>0</v>
      </c>
      <c r="AR81">
        <f t="shared" si="56"/>
        <v>0</v>
      </c>
    </row>
    <row r="82" spans="2:44" x14ac:dyDescent="0.25">
      <c r="B82" t="s">
        <v>298</v>
      </c>
      <c r="C82" t="s">
        <v>296</v>
      </c>
      <c r="E82" t="s">
        <v>30</v>
      </c>
      <c r="F82">
        <f t="shared" si="60"/>
        <v>0</v>
      </c>
      <c r="G82">
        <f t="shared" si="61"/>
        <v>1</v>
      </c>
      <c r="H82" t="s">
        <v>402</v>
      </c>
      <c r="I82">
        <v>14</v>
      </c>
      <c r="K82" t="s">
        <v>201</v>
      </c>
      <c r="L82" t="s">
        <v>55</v>
      </c>
      <c r="M82" s="5">
        <v>0</v>
      </c>
      <c r="N82" s="4" t="s">
        <v>36</v>
      </c>
      <c r="P82" s="86">
        <v>3135</v>
      </c>
      <c r="Q82" s="1">
        <f t="shared" si="57"/>
        <v>1254</v>
      </c>
      <c r="R82">
        <f t="shared" si="58"/>
        <v>2523</v>
      </c>
      <c r="S82" s="6" t="s">
        <v>297</v>
      </c>
      <c r="T82" s="61">
        <v>2</v>
      </c>
      <c r="U82" s="61">
        <f>IF(V82=$AE$2,47,IF(V82=$AE$1,ROUND(((P82+500)*0.039),0),IF(V82=$AE$3,0)))</f>
        <v>142</v>
      </c>
      <c r="V82" s="7" t="str">
        <f t="shared" si="44"/>
        <v>PAYPAL</v>
      </c>
      <c r="W82" s="56">
        <v>2</v>
      </c>
      <c r="X82" s="5" t="s">
        <v>351</v>
      </c>
      <c r="Y82" s="61">
        <f t="shared" si="59"/>
        <v>3777</v>
      </c>
      <c r="Z82" s="61"/>
      <c r="AA82" s="1">
        <f t="shared" si="45"/>
        <v>0</v>
      </c>
      <c r="AB82" s="1">
        <f t="shared" si="46"/>
        <v>130</v>
      </c>
      <c r="AC82" s="1"/>
      <c r="AD82" s="65">
        <f>(P82+U82)-AB82</f>
        <v>3147</v>
      </c>
      <c r="AE82" s="1"/>
      <c r="AF82" s="1">
        <f t="shared" si="47"/>
        <v>30</v>
      </c>
      <c r="AG82" s="1">
        <f>IF(AH82&gt;0,AH65:AH82,0)</f>
        <v>3117</v>
      </c>
      <c r="AH82" s="1">
        <f t="shared" si="48"/>
        <v>3117</v>
      </c>
      <c r="AJ82">
        <f t="shared" si="49"/>
        <v>0</v>
      </c>
      <c r="AK82">
        <f t="shared" si="50"/>
        <v>3135</v>
      </c>
      <c r="AL82">
        <f t="shared" si="51"/>
        <v>0</v>
      </c>
      <c r="AM82">
        <f t="shared" si="52"/>
        <v>0</v>
      </c>
      <c r="AO82">
        <f t="shared" si="53"/>
        <v>0</v>
      </c>
      <c r="AP82">
        <f t="shared" si="54"/>
        <v>3135</v>
      </c>
      <c r="AQ82">
        <f t="shared" si="55"/>
        <v>0</v>
      </c>
      <c r="AR82">
        <f t="shared" si="56"/>
        <v>0</v>
      </c>
    </row>
    <row r="83" spans="2:44" x14ac:dyDescent="0.25">
      <c r="B83" s="83" t="s">
        <v>82</v>
      </c>
      <c r="C83" t="s">
        <v>42</v>
      </c>
      <c r="E83" t="s">
        <v>42</v>
      </c>
      <c r="F83">
        <f t="shared" si="60"/>
        <v>3</v>
      </c>
      <c r="G83">
        <f t="shared" si="61"/>
        <v>0</v>
      </c>
      <c r="H83" t="s">
        <v>395</v>
      </c>
      <c r="I83">
        <v>3</v>
      </c>
      <c r="K83" t="s">
        <v>63</v>
      </c>
      <c r="L83" t="s">
        <v>55</v>
      </c>
      <c r="M83" s="5">
        <v>0</v>
      </c>
      <c r="N83" s="4" t="s">
        <v>36</v>
      </c>
      <c r="P83" s="86">
        <v>0</v>
      </c>
      <c r="Q83" s="1">
        <f>ROUND((P83*0.4),0)</f>
        <v>0</v>
      </c>
      <c r="R83">
        <f>IF(P83&gt;0,((P83+500)-Q83)+U83,0)</f>
        <v>0</v>
      </c>
      <c r="S83" s="6"/>
      <c r="T83" s="61">
        <v>2</v>
      </c>
      <c r="U83" s="61">
        <f>IF(V83=$AE$2,47,IF(V83=$AE$1,ROUND(((P83+500)*0.039),0),IF(V83=$AE$3,0)))</f>
        <v>0</v>
      </c>
      <c r="V83" s="7" t="str">
        <f t="shared" si="44"/>
        <v>NONE</v>
      </c>
      <c r="W83" s="56"/>
      <c r="X83" s="5"/>
      <c r="Y83" s="61">
        <f>R83+Q83</f>
        <v>0</v>
      </c>
      <c r="Z83" s="61"/>
      <c r="AA83" s="1">
        <f t="shared" si="45"/>
        <v>0</v>
      </c>
      <c r="AB83" s="1">
        <f t="shared" si="46"/>
        <v>130</v>
      </c>
      <c r="AC83" s="1"/>
      <c r="AD83" s="65">
        <f>(P83+U83)-AB83</f>
        <v>-130</v>
      </c>
      <c r="AE83" s="1"/>
      <c r="AF83" s="1">
        <f t="shared" si="47"/>
        <v>0</v>
      </c>
      <c r="AG83" s="1">
        <f>IF(AH83&gt;0,AH49:AH83,0)</f>
        <v>0</v>
      </c>
      <c r="AH83" s="1">
        <f t="shared" si="48"/>
        <v>-130</v>
      </c>
      <c r="AJ83">
        <f t="shared" si="49"/>
        <v>0</v>
      </c>
      <c r="AK83">
        <f t="shared" si="50"/>
        <v>0</v>
      </c>
      <c r="AL83">
        <f t="shared" si="51"/>
        <v>0</v>
      </c>
      <c r="AM83">
        <f t="shared" si="52"/>
        <v>0</v>
      </c>
      <c r="AO83">
        <f t="shared" si="53"/>
        <v>0</v>
      </c>
      <c r="AP83">
        <f t="shared" si="54"/>
        <v>0</v>
      </c>
      <c r="AQ83">
        <f t="shared" si="55"/>
        <v>0</v>
      </c>
      <c r="AR83">
        <f t="shared" si="56"/>
        <v>0</v>
      </c>
    </row>
    <row r="84" spans="2:44" x14ac:dyDescent="0.25">
      <c r="B84" t="s">
        <v>384</v>
      </c>
      <c r="C84" t="s">
        <v>60</v>
      </c>
      <c r="E84" t="s">
        <v>61</v>
      </c>
      <c r="F84">
        <f t="shared" si="60"/>
        <v>0</v>
      </c>
      <c r="G84">
        <f t="shared" si="61"/>
        <v>1</v>
      </c>
      <c r="H84" t="s">
        <v>189</v>
      </c>
      <c r="I84">
        <v>15</v>
      </c>
      <c r="K84" t="s">
        <v>251</v>
      </c>
      <c r="L84" t="s">
        <v>55</v>
      </c>
      <c r="M84" s="5">
        <v>3</v>
      </c>
      <c r="N84" s="4" t="s">
        <v>36</v>
      </c>
      <c r="P84" s="86">
        <v>2929</v>
      </c>
      <c r="Q84" s="1">
        <v>500</v>
      </c>
      <c r="R84">
        <v>1757</v>
      </c>
      <c r="S84" s="6" t="s">
        <v>250</v>
      </c>
      <c r="T84" s="61">
        <v>2</v>
      </c>
      <c r="U84" s="61">
        <f>IF(V84=$AE$2,47,IF(V84=$AE$1,ROUND(((R84+Q84)*0.039),0),IF(V84=$AE$3,0)))</f>
        <v>47</v>
      </c>
      <c r="V84" s="7" t="str">
        <f t="shared" si="44"/>
        <v>BANK</v>
      </c>
      <c r="W84" s="56">
        <v>1</v>
      </c>
      <c r="X84" s="5" t="s">
        <v>162</v>
      </c>
      <c r="Y84" s="1">
        <f t="shared" si="59"/>
        <v>2257</v>
      </c>
      <c r="Z84" s="1"/>
      <c r="AA84" s="1">
        <f t="shared" si="45"/>
        <v>0</v>
      </c>
      <c r="AB84" s="1">
        <f t="shared" si="46"/>
        <v>130</v>
      </c>
      <c r="AC84" s="1"/>
      <c r="AD84">
        <f>P84-AB84</f>
        <v>2799</v>
      </c>
      <c r="AE84" s="1"/>
      <c r="AF84" s="1">
        <f t="shared" si="47"/>
        <v>30</v>
      </c>
      <c r="AG84" s="1">
        <f>IF(AH84&gt;0,AH84,0)</f>
        <v>2769</v>
      </c>
      <c r="AH84" s="1">
        <f t="shared" si="48"/>
        <v>2769</v>
      </c>
      <c r="AJ84">
        <f t="shared" si="49"/>
        <v>0</v>
      </c>
      <c r="AK84">
        <f t="shared" si="50"/>
        <v>2929</v>
      </c>
      <c r="AL84">
        <f t="shared" si="51"/>
        <v>0</v>
      </c>
      <c r="AM84">
        <f t="shared" si="52"/>
        <v>0</v>
      </c>
      <c r="AO84">
        <f t="shared" si="53"/>
        <v>0</v>
      </c>
      <c r="AP84">
        <f t="shared" si="54"/>
        <v>2929</v>
      </c>
      <c r="AQ84">
        <f t="shared" si="55"/>
        <v>0</v>
      </c>
      <c r="AR84">
        <f t="shared" si="56"/>
        <v>0</v>
      </c>
    </row>
    <row r="85" spans="2:44" x14ac:dyDescent="0.25">
      <c r="B85" t="s">
        <v>374</v>
      </c>
      <c r="C85" t="s">
        <v>205</v>
      </c>
      <c r="E85" t="s">
        <v>30</v>
      </c>
      <c r="F85">
        <f t="shared" si="60"/>
        <v>0</v>
      </c>
      <c r="G85">
        <f t="shared" si="61"/>
        <v>1</v>
      </c>
      <c r="H85" t="s">
        <v>373</v>
      </c>
      <c r="I85">
        <v>8</v>
      </c>
      <c r="K85" t="s">
        <v>386</v>
      </c>
      <c r="L85" t="s">
        <v>55</v>
      </c>
      <c r="M85" s="5">
        <v>0</v>
      </c>
      <c r="N85" s="4" t="s">
        <v>36</v>
      </c>
      <c r="P85" s="86">
        <v>1348</v>
      </c>
      <c r="Q85" s="1">
        <f t="shared" ref="Q85:Q94" si="62">ROUND((P85*0.4),0)</f>
        <v>539</v>
      </c>
      <c r="R85">
        <f t="shared" ref="R85:R90" si="63">IF(P85&gt;0,((P85+500)-Q85)+U85,0)</f>
        <v>1381</v>
      </c>
      <c r="S85" s="6" t="s">
        <v>302</v>
      </c>
      <c r="T85" s="61">
        <v>2</v>
      </c>
      <c r="U85" s="61">
        <f>IF(V85=$AE$2,47,IF(V85=$AE$1,ROUND(((P85+500)*0.039),0),IF(V85=$AE$3,0)))</f>
        <v>72</v>
      </c>
      <c r="V85" s="7" t="str">
        <f t="shared" si="44"/>
        <v>PAYPAL</v>
      </c>
      <c r="W85" s="56">
        <v>2</v>
      </c>
      <c r="X85" s="5" t="s">
        <v>417</v>
      </c>
      <c r="Y85" s="61">
        <f t="shared" si="59"/>
        <v>1920</v>
      </c>
      <c r="Z85" s="61"/>
      <c r="AA85" s="1">
        <f t="shared" si="45"/>
        <v>0</v>
      </c>
      <c r="AB85" s="1">
        <f t="shared" si="46"/>
        <v>130</v>
      </c>
      <c r="AC85" s="1"/>
      <c r="AD85" s="65">
        <f>(P85+U85)-AB85</f>
        <v>1290</v>
      </c>
      <c r="AE85" s="1"/>
      <c r="AF85" s="1">
        <f t="shared" si="47"/>
        <v>30</v>
      </c>
      <c r="AG85" s="1">
        <f>IF(AH85&gt;0,AH69:AH85,0)</f>
        <v>1260</v>
      </c>
      <c r="AH85" s="1">
        <f t="shared" si="48"/>
        <v>1260</v>
      </c>
      <c r="AJ85">
        <f t="shared" si="49"/>
        <v>0</v>
      </c>
      <c r="AK85">
        <f t="shared" si="50"/>
        <v>1348</v>
      </c>
      <c r="AL85">
        <f t="shared" si="51"/>
        <v>0</v>
      </c>
      <c r="AM85">
        <f t="shared" si="52"/>
        <v>0</v>
      </c>
      <c r="AO85">
        <f t="shared" si="53"/>
        <v>0</v>
      </c>
      <c r="AP85">
        <f t="shared" si="54"/>
        <v>1348</v>
      </c>
      <c r="AQ85">
        <f t="shared" si="55"/>
        <v>0</v>
      </c>
      <c r="AR85">
        <f t="shared" si="56"/>
        <v>0</v>
      </c>
    </row>
    <row r="86" spans="2:44" x14ac:dyDescent="0.25">
      <c r="B86" t="s">
        <v>360</v>
      </c>
      <c r="C86" t="s">
        <v>338</v>
      </c>
      <c r="E86" t="s">
        <v>30</v>
      </c>
      <c r="F86">
        <f t="shared" si="60"/>
        <v>0</v>
      </c>
      <c r="G86">
        <f t="shared" si="61"/>
        <v>1</v>
      </c>
      <c r="H86" t="s">
        <v>418</v>
      </c>
      <c r="I86">
        <v>7</v>
      </c>
      <c r="K86" t="s">
        <v>336</v>
      </c>
      <c r="L86" t="s">
        <v>55</v>
      </c>
      <c r="M86" s="5">
        <v>0</v>
      </c>
      <c r="N86" s="4" t="s">
        <v>36</v>
      </c>
      <c r="P86" s="86">
        <v>1498</v>
      </c>
      <c r="Q86" s="1">
        <f t="shared" si="62"/>
        <v>599</v>
      </c>
      <c r="R86">
        <f t="shared" si="63"/>
        <v>1477</v>
      </c>
      <c r="S86" s="6" t="s">
        <v>337</v>
      </c>
      <c r="T86" s="61">
        <v>2</v>
      </c>
      <c r="U86" s="61">
        <f>IF(V86=$AE$2,47,IF(V86=$AE$1,ROUND(((P86+500)*0.039),0),IF(V86=$AE$3,0)))</f>
        <v>78</v>
      </c>
      <c r="V86" s="7" t="str">
        <f t="shared" si="44"/>
        <v>PAYPAL</v>
      </c>
      <c r="W86" s="56">
        <v>2</v>
      </c>
      <c r="X86" s="5" t="s">
        <v>260</v>
      </c>
      <c r="Y86" s="61">
        <f t="shared" si="59"/>
        <v>2076</v>
      </c>
      <c r="Z86" s="61"/>
      <c r="AA86" s="1">
        <f t="shared" si="45"/>
        <v>0</v>
      </c>
      <c r="AB86" s="1">
        <f t="shared" si="46"/>
        <v>130</v>
      </c>
      <c r="AC86" s="1"/>
      <c r="AD86" s="65">
        <f>(P86+U86)-AB86</f>
        <v>1446</v>
      </c>
      <c r="AE86" s="1"/>
      <c r="AF86" s="1">
        <f t="shared" si="47"/>
        <v>30</v>
      </c>
      <c r="AG86" s="1">
        <f>IF(AH86&gt;0,AH54:AH86,0)</f>
        <v>1416</v>
      </c>
      <c r="AH86" s="1">
        <f t="shared" si="48"/>
        <v>1416</v>
      </c>
      <c r="AJ86">
        <f t="shared" si="49"/>
        <v>0</v>
      </c>
      <c r="AK86">
        <f t="shared" si="50"/>
        <v>1498</v>
      </c>
      <c r="AL86">
        <f t="shared" si="51"/>
        <v>0</v>
      </c>
      <c r="AM86">
        <f t="shared" si="52"/>
        <v>0</v>
      </c>
      <c r="AO86">
        <f t="shared" si="53"/>
        <v>0</v>
      </c>
      <c r="AP86">
        <f t="shared" si="54"/>
        <v>1498</v>
      </c>
      <c r="AQ86">
        <f t="shared" si="55"/>
        <v>0</v>
      </c>
      <c r="AR86">
        <f t="shared" si="56"/>
        <v>0</v>
      </c>
    </row>
    <row r="87" spans="2:44" x14ac:dyDescent="0.25">
      <c r="B87" t="s">
        <v>368</v>
      </c>
      <c r="C87" t="s">
        <v>369</v>
      </c>
      <c r="E87" t="s">
        <v>370</v>
      </c>
      <c r="F87">
        <f t="shared" si="60"/>
        <v>0</v>
      </c>
      <c r="G87">
        <f t="shared" si="61"/>
        <v>1</v>
      </c>
      <c r="H87" t="s">
        <v>371</v>
      </c>
      <c r="I87">
        <v>7</v>
      </c>
      <c r="K87" t="s">
        <v>35</v>
      </c>
      <c r="L87" t="s">
        <v>55</v>
      </c>
      <c r="M87" s="5">
        <v>0</v>
      </c>
      <c r="N87" s="4" t="s">
        <v>36</v>
      </c>
      <c r="P87" s="86">
        <v>1681</v>
      </c>
      <c r="Q87" s="1">
        <f t="shared" si="62"/>
        <v>672</v>
      </c>
      <c r="R87">
        <f t="shared" si="63"/>
        <v>1594</v>
      </c>
      <c r="S87" s="6" t="s">
        <v>372</v>
      </c>
      <c r="T87" s="61">
        <v>3</v>
      </c>
      <c r="U87" s="61">
        <f>IF(V87=$AE$2,47,IF(V87=$AE$1,ROUND(((P87+500)*0.039),0),IF(V87=$AE$3,0)))</f>
        <v>85</v>
      </c>
      <c r="V87" s="7" t="str">
        <f t="shared" si="44"/>
        <v>PAYPAL</v>
      </c>
      <c r="W87" s="56">
        <v>2</v>
      </c>
      <c r="X87" s="5" t="s">
        <v>422</v>
      </c>
      <c r="Y87" s="61">
        <f>R87+Q87</f>
        <v>2266</v>
      </c>
      <c r="Z87" s="61"/>
      <c r="AA87" s="1">
        <f t="shared" si="45"/>
        <v>0</v>
      </c>
      <c r="AB87" s="1">
        <f t="shared" si="46"/>
        <v>130</v>
      </c>
      <c r="AC87" s="1"/>
      <c r="AD87" s="65">
        <f>(P87+U87)-AB87</f>
        <v>1636</v>
      </c>
      <c r="AE87" s="1"/>
      <c r="AF87" s="1">
        <f t="shared" si="47"/>
        <v>30</v>
      </c>
      <c r="AG87" s="1">
        <f>IF(AH87&gt;0,AH53:AH87,0)</f>
        <v>1606</v>
      </c>
      <c r="AH87" s="1">
        <f t="shared" si="48"/>
        <v>1606</v>
      </c>
      <c r="AJ87">
        <f t="shared" si="49"/>
        <v>0</v>
      </c>
      <c r="AK87">
        <f t="shared" si="50"/>
        <v>0</v>
      </c>
      <c r="AL87">
        <f t="shared" si="51"/>
        <v>1681</v>
      </c>
      <c r="AM87">
        <f t="shared" si="52"/>
        <v>0</v>
      </c>
      <c r="AO87">
        <f t="shared" si="53"/>
        <v>0</v>
      </c>
      <c r="AP87">
        <f t="shared" si="54"/>
        <v>0</v>
      </c>
      <c r="AQ87">
        <f t="shared" si="55"/>
        <v>1681</v>
      </c>
      <c r="AR87">
        <f t="shared" si="56"/>
        <v>0</v>
      </c>
    </row>
    <row r="88" spans="2:44" x14ac:dyDescent="0.25">
      <c r="B88" s="82" t="s">
        <v>82</v>
      </c>
      <c r="C88" s="8" t="s">
        <v>278</v>
      </c>
      <c r="D88" s="8"/>
      <c r="E88" t="s">
        <v>42</v>
      </c>
      <c r="F88">
        <f t="shared" si="60"/>
        <v>14</v>
      </c>
      <c r="G88">
        <f t="shared" si="61"/>
        <v>0</v>
      </c>
      <c r="H88" t="s">
        <v>367</v>
      </c>
      <c r="I88">
        <v>14</v>
      </c>
      <c r="K88" t="s">
        <v>63</v>
      </c>
      <c r="L88" t="s">
        <v>55</v>
      </c>
      <c r="M88" s="5">
        <v>3</v>
      </c>
      <c r="N88" s="4" t="s">
        <v>36</v>
      </c>
      <c r="P88" s="86">
        <v>0</v>
      </c>
      <c r="Q88" s="1">
        <f t="shared" si="62"/>
        <v>0</v>
      </c>
      <c r="R88">
        <f t="shared" si="63"/>
        <v>0</v>
      </c>
      <c r="S88" s="6"/>
      <c r="T88" s="61">
        <v>3</v>
      </c>
      <c r="U88" s="61">
        <f>IF(V88=$AE$2,47,IF(V88=$AE$1,ROUND(((P88+500)*0.039),0),IF(V88=$AE$3,0)))</f>
        <v>0</v>
      </c>
      <c r="V88" s="7" t="str">
        <f t="shared" si="44"/>
        <v>NONE</v>
      </c>
      <c r="W88" s="56"/>
      <c r="X88" s="5"/>
      <c r="Y88" s="61">
        <f>R88+Q88</f>
        <v>0</v>
      </c>
      <c r="Z88" s="61"/>
      <c r="AA88" s="1">
        <f t="shared" si="45"/>
        <v>0</v>
      </c>
      <c r="AB88" s="1">
        <f t="shared" si="46"/>
        <v>130</v>
      </c>
      <c r="AC88" s="1"/>
      <c r="AD88" s="65">
        <f>(P88+U88)-AB88</f>
        <v>-130</v>
      </c>
      <c r="AE88" s="1"/>
      <c r="AF88" s="1">
        <f t="shared" si="47"/>
        <v>0</v>
      </c>
      <c r="AG88" s="1">
        <f>IF(AH88&gt;0,AH66:AH88,0)</f>
        <v>0</v>
      </c>
      <c r="AH88" s="1">
        <f t="shared" si="48"/>
        <v>-130</v>
      </c>
      <c r="AJ88">
        <f t="shared" si="49"/>
        <v>0</v>
      </c>
      <c r="AK88">
        <f t="shared" si="50"/>
        <v>0</v>
      </c>
      <c r="AL88">
        <f t="shared" si="51"/>
        <v>0</v>
      </c>
      <c r="AM88">
        <f t="shared" si="52"/>
        <v>0</v>
      </c>
      <c r="AO88">
        <f t="shared" si="53"/>
        <v>0</v>
      </c>
      <c r="AP88">
        <f t="shared" si="54"/>
        <v>0</v>
      </c>
      <c r="AQ88">
        <f t="shared" si="55"/>
        <v>0</v>
      </c>
      <c r="AR88">
        <f t="shared" si="56"/>
        <v>0</v>
      </c>
    </row>
    <row r="89" spans="2:44" x14ac:dyDescent="0.25">
      <c r="B89" s="81" t="s">
        <v>287</v>
      </c>
      <c r="C89" t="s">
        <v>288</v>
      </c>
      <c r="E89" t="s">
        <v>30</v>
      </c>
      <c r="F89">
        <f t="shared" si="60"/>
        <v>0</v>
      </c>
      <c r="G89">
        <f t="shared" si="61"/>
        <v>1</v>
      </c>
      <c r="H89" t="s">
        <v>289</v>
      </c>
      <c r="I89">
        <v>14</v>
      </c>
      <c r="K89" t="s">
        <v>80</v>
      </c>
      <c r="L89" t="s">
        <v>55</v>
      </c>
      <c r="M89" s="5">
        <v>0</v>
      </c>
      <c r="N89" s="4" t="s">
        <v>36</v>
      </c>
      <c r="P89" s="86">
        <v>2757</v>
      </c>
      <c r="Q89" s="1">
        <f t="shared" si="62"/>
        <v>1103</v>
      </c>
      <c r="R89">
        <f t="shared" si="63"/>
        <v>2281</v>
      </c>
      <c r="S89" s="6" t="s">
        <v>290</v>
      </c>
      <c r="T89" s="61">
        <v>3</v>
      </c>
      <c r="U89" s="61">
        <f>IF(V89=$AE$2,47,IF(V89=$AE$1,ROUND(((P89+500)*0.039),0),IF(V89=$AE$3,0)))</f>
        <v>127</v>
      </c>
      <c r="V89" s="7" t="str">
        <f t="shared" si="44"/>
        <v>PAYPAL</v>
      </c>
      <c r="W89" s="56">
        <v>2</v>
      </c>
      <c r="X89" s="5" t="s">
        <v>448</v>
      </c>
      <c r="Y89" s="61">
        <f>R89+Q89</f>
        <v>3384</v>
      </c>
      <c r="Z89" s="61"/>
      <c r="AA89" s="1">
        <f t="shared" si="45"/>
        <v>0</v>
      </c>
      <c r="AB89" s="1">
        <f t="shared" si="46"/>
        <v>130</v>
      </c>
      <c r="AC89" s="1"/>
      <c r="AD89" s="65">
        <f>(P89+U89)-AB89</f>
        <v>2754</v>
      </c>
      <c r="AE89" s="1"/>
      <c r="AF89" s="1">
        <f t="shared" si="47"/>
        <v>30</v>
      </c>
      <c r="AG89" s="1">
        <f>IF(AH89&gt;0,AH66:AH89,0)</f>
        <v>2724</v>
      </c>
      <c r="AH89" s="1">
        <f t="shared" si="48"/>
        <v>2724</v>
      </c>
      <c r="AJ89">
        <f t="shared" si="49"/>
        <v>0</v>
      </c>
      <c r="AK89">
        <f t="shared" si="50"/>
        <v>0</v>
      </c>
      <c r="AL89">
        <f t="shared" si="51"/>
        <v>2757</v>
      </c>
      <c r="AM89">
        <f t="shared" si="52"/>
        <v>0</v>
      </c>
      <c r="AO89">
        <f t="shared" si="53"/>
        <v>0</v>
      </c>
      <c r="AP89">
        <f t="shared" si="54"/>
        <v>0</v>
      </c>
      <c r="AQ89">
        <f t="shared" si="55"/>
        <v>2757</v>
      </c>
      <c r="AR89">
        <f t="shared" si="56"/>
        <v>0</v>
      </c>
    </row>
    <row r="90" spans="2:44" x14ac:dyDescent="0.25">
      <c r="B90" s="90" t="s">
        <v>727</v>
      </c>
      <c r="C90" s="90" t="s">
        <v>1037</v>
      </c>
      <c r="D90" s="90"/>
      <c r="E90" t="s">
        <v>30</v>
      </c>
      <c r="F90">
        <f t="shared" ref="F90:F95" si="64">IF(E90=$B$12,I90,0)</f>
        <v>0</v>
      </c>
      <c r="G90">
        <f t="shared" ref="G90:G95" si="65">IF(F90&gt;0,0,1)</f>
        <v>1</v>
      </c>
      <c r="H90" t="s">
        <v>320</v>
      </c>
      <c r="I90">
        <v>21</v>
      </c>
      <c r="K90" t="s">
        <v>184</v>
      </c>
      <c r="L90" t="s">
        <v>55</v>
      </c>
      <c r="M90" s="5">
        <v>0</v>
      </c>
      <c r="N90" s="4" t="s">
        <v>36</v>
      </c>
      <c r="P90" s="86">
        <f>2940+110+47</f>
        <v>3097</v>
      </c>
      <c r="Q90" s="1">
        <f t="shared" si="62"/>
        <v>1239</v>
      </c>
      <c r="R90">
        <f t="shared" si="63"/>
        <v>2498</v>
      </c>
      <c r="S90" s="6" t="s">
        <v>316</v>
      </c>
      <c r="T90" s="61">
        <v>3</v>
      </c>
      <c r="U90" s="61">
        <f t="shared" ref="U90:U95" si="66">IF(V90=$AE$2,47,IF(V90=$AE$1,ROUND(((P90+500)*0.039),0),IF(V90=$AE$3,0)))</f>
        <v>140</v>
      </c>
      <c r="V90" s="7" t="str">
        <f t="shared" ref="V90:V100" si="67">IF(W90=1,$AE$2,IF(W90=2,$AE$1,IF(AND(W90&lt;&gt;1,W90&lt;&gt;20)=TRUE,$AE$3)))</f>
        <v>PAYPAL</v>
      </c>
      <c r="W90" s="56">
        <v>2</v>
      </c>
      <c r="X90" s="5" t="s">
        <v>461</v>
      </c>
      <c r="Y90" s="61">
        <f t="shared" ref="Y90:Y95" si="68">R90+Q90</f>
        <v>3737</v>
      </c>
      <c r="Z90" s="61"/>
      <c r="AA90" s="1">
        <f t="shared" ref="AA90:AA100" si="69">IF(X90=$AA$1,R90-500,0)</f>
        <v>0</v>
      </c>
      <c r="AB90" s="1">
        <f t="shared" ref="AB90:AB100" si="70">IF(I90&gt;0,130,0)</f>
        <v>130</v>
      </c>
      <c r="AC90" s="1"/>
      <c r="AD90" s="65">
        <f t="shared" ref="AD90:AD95" si="71">(P90+U90)-AB90</f>
        <v>3107</v>
      </c>
      <c r="AE90" s="1"/>
      <c r="AF90" s="1">
        <f t="shared" ref="AF90:AF100" si="72">IF(I90&gt;0,30*G90,0)</f>
        <v>30</v>
      </c>
      <c r="AG90" s="1">
        <f>IF(AH90&gt;0,AH55:AH90,0)</f>
        <v>3077</v>
      </c>
      <c r="AH90" s="1">
        <f t="shared" si="48"/>
        <v>3077</v>
      </c>
      <c r="AJ90">
        <f t="shared" si="49"/>
        <v>0</v>
      </c>
      <c r="AK90">
        <f t="shared" si="50"/>
        <v>0</v>
      </c>
      <c r="AL90">
        <f t="shared" si="51"/>
        <v>3097</v>
      </c>
      <c r="AM90">
        <f t="shared" si="52"/>
        <v>0</v>
      </c>
      <c r="AO90">
        <f t="shared" si="53"/>
        <v>0</v>
      </c>
      <c r="AP90">
        <f t="shared" si="54"/>
        <v>0</v>
      </c>
      <c r="AQ90">
        <f t="shared" si="55"/>
        <v>3097</v>
      </c>
      <c r="AR90">
        <f t="shared" si="56"/>
        <v>0</v>
      </c>
    </row>
    <row r="91" spans="2:44" x14ac:dyDescent="0.25">
      <c r="B91" s="90" t="s">
        <v>333</v>
      </c>
      <c r="C91" t="s">
        <v>324</v>
      </c>
      <c r="E91" t="s">
        <v>30</v>
      </c>
      <c r="F91">
        <f t="shared" si="64"/>
        <v>0</v>
      </c>
      <c r="G91">
        <f t="shared" si="65"/>
        <v>1</v>
      </c>
      <c r="H91" t="s">
        <v>334</v>
      </c>
      <c r="I91" s="92">
        <v>13</v>
      </c>
      <c r="J91" s="92"/>
      <c r="K91" t="s">
        <v>325</v>
      </c>
      <c r="L91" t="s">
        <v>55</v>
      </c>
      <c r="M91" s="5">
        <v>0</v>
      </c>
      <c r="N91" s="4" t="s">
        <v>36</v>
      </c>
      <c r="P91" s="86">
        <v>2573</v>
      </c>
      <c r="Q91" s="1">
        <f t="shared" si="62"/>
        <v>1029</v>
      </c>
      <c r="R91" s="92">
        <f>2164-184</f>
        <v>1980</v>
      </c>
      <c r="S91" s="6" t="s">
        <v>326</v>
      </c>
      <c r="T91" s="61">
        <v>3</v>
      </c>
      <c r="U91" s="61">
        <f t="shared" si="66"/>
        <v>120</v>
      </c>
      <c r="V91" s="7" t="str">
        <f t="shared" si="67"/>
        <v>PAYPAL</v>
      </c>
      <c r="W91" s="56">
        <v>2</v>
      </c>
      <c r="X91" s="5" t="s">
        <v>260</v>
      </c>
      <c r="Y91" s="61">
        <f t="shared" si="68"/>
        <v>3009</v>
      </c>
      <c r="Z91" s="61"/>
      <c r="AA91" s="1">
        <f t="shared" si="69"/>
        <v>0</v>
      </c>
      <c r="AB91" s="1">
        <f t="shared" si="70"/>
        <v>130</v>
      </c>
      <c r="AC91" s="1"/>
      <c r="AD91" s="65">
        <f t="shared" si="71"/>
        <v>2563</v>
      </c>
      <c r="AE91" s="1"/>
      <c r="AF91" s="1">
        <f t="shared" si="72"/>
        <v>30</v>
      </c>
      <c r="AG91" s="1">
        <f>IF(AH91&gt;0,AH56:AH91,0)</f>
        <v>2533</v>
      </c>
      <c r="AH91" s="1">
        <f t="shared" si="48"/>
        <v>2533</v>
      </c>
      <c r="AJ91">
        <f t="shared" si="49"/>
        <v>0</v>
      </c>
      <c r="AK91">
        <f t="shared" si="50"/>
        <v>0</v>
      </c>
      <c r="AL91">
        <f t="shared" si="51"/>
        <v>2573</v>
      </c>
      <c r="AM91">
        <f t="shared" si="52"/>
        <v>0</v>
      </c>
      <c r="AO91">
        <f t="shared" si="53"/>
        <v>0</v>
      </c>
      <c r="AP91">
        <f t="shared" si="54"/>
        <v>0</v>
      </c>
      <c r="AQ91">
        <f t="shared" si="55"/>
        <v>2573</v>
      </c>
      <c r="AR91">
        <f t="shared" si="56"/>
        <v>0</v>
      </c>
    </row>
    <row r="92" spans="2:44" x14ac:dyDescent="0.25">
      <c r="B92" s="85" t="s">
        <v>307</v>
      </c>
      <c r="C92" t="s">
        <v>308</v>
      </c>
      <c r="E92" t="s">
        <v>61</v>
      </c>
      <c r="F92">
        <f t="shared" si="64"/>
        <v>0</v>
      </c>
      <c r="G92">
        <f t="shared" si="65"/>
        <v>1</v>
      </c>
      <c r="H92" t="s">
        <v>309</v>
      </c>
      <c r="I92">
        <v>13</v>
      </c>
      <c r="K92" t="s">
        <v>103</v>
      </c>
      <c r="L92" t="s">
        <v>55</v>
      </c>
      <c r="M92" s="5">
        <v>0</v>
      </c>
      <c r="N92" s="4" t="s">
        <v>36</v>
      </c>
      <c r="P92" s="86">
        <v>2369</v>
      </c>
      <c r="Q92" s="1">
        <f t="shared" si="62"/>
        <v>948</v>
      </c>
      <c r="R92">
        <f t="shared" ref="R92:R107" si="73">IF(P92&gt;0,((P92+500)-Q92)+U92,0)</f>
        <v>2033</v>
      </c>
      <c r="S92" s="6" t="s">
        <v>310</v>
      </c>
      <c r="T92" s="61">
        <v>3</v>
      </c>
      <c r="U92" s="61">
        <f t="shared" si="66"/>
        <v>112</v>
      </c>
      <c r="V92" s="7" t="str">
        <f t="shared" si="67"/>
        <v>PAYPAL</v>
      </c>
      <c r="W92" s="56">
        <v>2</v>
      </c>
      <c r="X92" s="5" t="s">
        <v>467</v>
      </c>
      <c r="Y92" s="61">
        <f t="shared" si="68"/>
        <v>2981</v>
      </c>
      <c r="Z92" s="61"/>
      <c r="AA92" s="1">
        <f t="shared" si="69"/>
        <v>0</v>
      </c>
      <c r="AB92" s="1">
        <f t="shared" si="70"/>
        <v>130</v>
      </c>
      <c r="AC92" s="1"/>
      <c r="AD92" s="65">
        <f t="shared" si="71"/>
        <v>2351</v>
      </c>
      <c r="AE92" s="1"/>
      <c r="AF92" s="1">
        <f t="shared" si="72"/>
        <v>30</v>
      </c>
      <c r="AG92" s="1">
        <f>IF(AH92&gt;0,AH55:AH92,0)</f>
        <v>2321</v>
      </c>
      <c r="AH92" s="1">
        <f t="shared" si="48"/>
        <v>2321</v>
      </c>
      <c r="AJ92">
        <f t="shared" si="49"/>
        <v>0</v>
      </c>
      <c r="AK92">
        <f t="shared" si="50"/>
        <v>0</v>
      </c>
      <c r="AL92">
        <f t="shared" si="51"/>
        <v>2369</v>
      </c>
      <c r="AM92">
        <f t="shared" si="52"/>
        <v>0</v>
      </c>
      <c r="AO92">
        <f t="shared" si="53"/>
        <v>0</v>
      </c>
      <c r="AP92">
        <f t="shared" si="54"/>
        <v>0</v>
      </c>
      <c r="AQ92">
        <f t="shared" si="55"/>
        <v>2369</v>
      </c>
      <c r="AR92">
        <f t="shared" si="56"/>
        <v>0</v>
      </c>
    </row>
    <row r="93" spans="2:44" x14ac:dyDescent="0.25">
      <c r="B93" s="82" t="s">
        <v>82</v>
      </c>
      <c r="C93" s="8" t="s">
        <v>42</v>
      </c>
      <c r="D93" s="8"/>
      <c r="E93" t="s">
        <v>42</v>
      </c>
      <c r="F93">
        <f t="shared" si="64"/>
        <v>2</v>
      </c>
      <c r="G93">
        <f t="shared" si="65"/>
        <v>0</v>
      </c>
      <c r="H93" t="s">
        <v>424</v>
      </c>
      <c r="I93">
        <v>2</v>
      </c>
      <c r="K93" t="s">
        <v>63</v>
      </c>
      <c r="L93" t="s">
        <v>55</v>
      </c>
      <c r="M93" s="5">
        <v>3</v>
      </c>
      <c r="N93" s="4" t="s">
        <v>36</v>
      </c>
      <c r="P93" s="86">
        <v>0</v>
      </c>
      <c r="Q93" s="1">
        <f t="shared" si="62"/>
        <v>0</v>
      </c>
      <c r="R93">
        <f t="shared" si="73"/>
        <v>0</v>
      </c>
      <c r="S93" s="6"/>
      <c r="T93" s="61"/>
      <c r="U93" s="61">
        <f t="shared" si="66"/>
        <v>0</v>
      </c>
      <c r="V93" s="7" t="str">
        <f>IF(W93=1,$AE$2,IF(W93=2,$AE$1,IF(AND(W93&lt;&gt;1,W93&lt;&gt;20)=TRUE,$AE$3)))</f>
        <v>NONE</v>
      </c>
      <c r="W93" s="56"/>
      <c r="X93" s="5"/>
      <c r="Y93" s="61">
        <f t="shared" si="68"/>
        <v>0</v>
      </c>
      <c r="Z93" s="61"/>
      <c r="AA93" s="1">
        <f>IF(X93=$AA$1,R93-500,0)</f>
        <v>0</v>
      </c>
      <c r="AB93" s="1">
        <f>IF(I93&gt;0,130,0)</f>
        <v>130</v>
      </c>
      <c r="AC93" s="1"/>
      <c r="AD93" s="65">
        <f t="shared" si="71"/>
        <v>-130</v>
      </c>
      <c r="AE93" s="1"/>
      <c r="AF93" s="1">
        <f>IF(I93&gt;0,30*G93,0)</f>
        <v>0</v>
      </c>
      <c r="AG93" s="1">
        <f>IF(AH93&gt;0,AH47:AH93,0)</f>
        <v>0</v>
      </c>
      <c r="AH93" s="1">
        <f>AD93-AF93</f>
        <v>-130</v>
      </c>
      <c r="AJ93">
        <f t="shared" si="49"/>
        <v>0</v>
      </c>
      <c r="AK93">
        <f t="shared" si="50"/>
        <v>0</v>
      </c>
      <c r="AL93">
        <f t="shared" si="51"/>
        <v>0</v>
      </c>
      <c r="AM93">
        <f t="shared" si="52"/>
        <v>0</v>
      </c>
      <c r="AO93">
        <f t="shared" si="53"/>
        <v>0</v>
      </c>
      <c r="AP93">
        <f t="shared" si="54"/>
        <v>0</v>
      </c>
      <c r="AQ93">
        <f t="shared" si="55"/>
        <v>0</v>
      </c>
      <c r="AR93">
        <f t="shared" si="56"/>
        <v>0</v>
      </c>
    </row>
    <row r="94" spans="2:44" x14ac:dyDescent="0.25">
      <c r="B94" s="120" t="s">
        <v>375</v>
      </c>
      <c r="C94" s="120" t="s">
        <v>381</v>
      </c>
      <c r="D94" s="120"/>
      <c r="E94" t="s">
        <v>61</v>
      </c>
      <c r="F94">
        <f t="shared" si="64"/>
        <v>0</v>
      </c>
      <c r="G94">
        <f t="shared" si="65"/>
        <v>1</v>
      </c>
      <c r="H94" t="s">
        <v>376</v>
      </c>
      <c r="I94">
        <v>7</v>
      </c>
      <c r="K94" t="s">
        <v>401</v>
      </c>
      <c r="L94" t="s">
        <v>55</v>
      </c>
      <c r="M94" s="5">
        <v>0</v>
      </c>
      <c r="N94" s="4" t="s">
        <v>36</v>
      </c>
      <c r="P94" s="86">
        <v>1498</v>
      </c>
      <c r="Q94" s="1">
        <f t="shared" si="62"/>
        <v>599</v>
      </c>
      <c r="R94">
        <f t="shared" si="73"/>
        <v>1477</v>
      </c>
      <c r="S94" s="6" t="s">
        <v>377</v>
      </c>
      <c r="T94" s="61">
        <v>3</v>
      </c>
      <c r="U94" s="61">
        <f t="shared" si="66"/>
        <v>78</v>
      </c>
      <c r="V94" s="7" t="str">
        <f>IF(W94=1,$AE$2,IF(W94=2,$AE$1,IF(AND(W94&lt;&gt;1,W94&lt;&gt;20)=TRUE,$AE$3)))</f>
        <v>PAYPAL</v>
      </c>
      <c r="W94" s="56">
        <v>2</v>
      </c>
      <c r="X94" s="5" t="s">
        <v>351</v>
      </c>
      <c r="Y94" s="61">
        <f t="shared" si="68"/>
        <v>2076</v>
      </c>
      <c r="Z94" s="61"/>
      <c r="AA94" s="1">
        <f>IF(X94=$AA$1,R94-500,0)</f>
        <v>0</v>
      </c>
      <c r="AB94" s="1">
        <f>IF(I94&gt;0,130,0)</f>
        <v>130</v>
      </c>
      <c r="AC94" s="1"/>
      <c r="AD94" s="65">
        <f t="shared" si="71"/>
        <v>1446</v>
      </c>
      <c r="AE94" s="1"/>
      <c r="AF94" s="1">
        <f>IF(I94&gt;0,30*G94,0)</f>
        <v>30</v>
      </c>
      <c r="AG94" s="1">
        <f>IF(AH94&gt;0,AH94,0)</f>
        <v>1416</v>
      </c>
      <c r="AH94" s="1">
        <f t="shared" si="48"/>
        <v>1416</v>
      </c>
      <c r="AJ94">
        <f>IF(T94=1,P94,0)</f>
        <v>0</v>
      </c>
      <c r="AK94">
        <f>IF(T94=2,P94,0)</f>
        <v>0</v>
      </c>
      <c r="AL94">
        <f>IF(T94=3,P94,0)</f>
        <v>1498</v>
      </c>
      <c r="AM94">
        <f>IF(T94=4,P94,0)</f>
        <v>0</v>
      </c>
      <c r="AO94">
        <f>IF(T94=1,P94,0)</f>
        <v>0</v>
      </c>
      <c r="AP94">
        <f>IF(T94=2,P94,0)</f>
        <v>0</v>
      </c>
      <c r="AQ94">
        <f>IF(T94=3,P94,0)</f>
        <v>1498</v>
      </c>
      <c r="AR94">
        <f>IF(T94=4,P94,0)</f>
        <v>0</v>
      </c>
    </row>
    <row r="95" spans="2:44" ht="15.75" x14ac:dyDescent="0.25">
      <c r="B95" s="137" t="s">
        <v>446</v>
      </c>
      <c r="C95" t="s">
        <v>447</v>
      </c>
      <c r="E95" t="s">
        <v>370</v>
      </c>
      <c r="F95">
        <f t="shared" si="64"/>
        <v>0</v>
      </c>
      <c r="G95">
        <f t="shared" si="65"/>
        <v>1</v>
      </c>
      <c r="H95" t="s">
        <v>466</v>
      </c>
      <c r="I95">
        <v>7</v>
      </c>
      <c r="K95" t="s">
        <v>103</v>
      </c>
      <c r="L95" t="s">
        <v>55</v>
      </c>
      <c r="M95" s="5">
        <v>0</v>
      </c>
      <c r="N95" s="4" t="s">
        <v>36</v>
      </c>
      <c r="P95" s="86">
        <v>1075</v>
      </c>
      <c r="Q95" s="1">
        <v>0</v>
      </c>
      <c r="R95">
        <f t="shared" si="73"/>
        <v>1636</v>
      </c>
      <c r="S95" s="6" t="s">
        <v>156</v>
      </c>
      <c r="T95" s="61">
        <v>3</v>
      </c>
      <c r="U95" s="61">
        <f t="shared" si="66"/>
        <v>61</v>
      </c>
      <c r="V95" s="7" t="str">
        <f t="shared" si="67"/>
        <v>PAYPAL</v>
      </c>
      <c r="W95" s="56">
        <v>2</v>
      </c>
      <c r="X95" s="5" t="s">
        <v>474</v>
      </c>
      <c r="Y95" s="61">
        <f t="shared" si="68"/>
        <v>1636</v>
      </c>
      <c r="Z95" s="61"/>
      <c r="AA95" s="1">
        <f>IF(X95=$AA$1,R95-500,0)</f>
        <v>0</v>
      </c>
      <c r="AB95" s="1">
        <f>IF(I95&gt;0,130,0)</f>
        <v>130</v>
      </c>
      <c r="AC95" s="1"/>
      <c r="AD95" s="65">
        <f t="shared" si="71"/>
        <v>1006</v>
      </c>
      <c r="AE95" s="1"/>
      <c r="AF95" s="1">
        <f>IF(I95&gt;0,30*G95,0)</f>
        <v>30</v>
      </c>
      <c r="AG95" s="1"/>
      <c r="AH95" s="1">
        <f t="shared" si="48"/>
        <v>976</v>
      </c>
      <c r="AJ95">
        <f>IF(T95=1,P95,0)</f>
        <v>0</v>
      </c>
      <c r="AK95">
        <f>IF(T95=2,P95,0)</f>
        <v>0</v>
      </c>
      <c r="AL95">
        <f>IF(T95=3,P95,0)</f>
        <v>1075</v>
      </c>
      <c r="AM95">
        <f>IF(T95=4,P95,0)</f>
        <v>0</v>
      </c>
      <c r="AO95">
        <f>IF(T95=1,P95,0)</f>
        <v>0</v>
      </c>
      <c r="AP95">
        <f>IF(T95=2,P95,0)</f>
        <v>0</v>
      </c>
      <c r="AQ95">
        <f>IF(T95=3,P95,0)</f>
        <v>1075</v>
      </c>
      <c r="AR95">
        <f>IF(T95=4,P95,0)</f>
        <v>0</v>
      </c>
    </row>
    <row r="96" spans="2:44" ht="15.75" customHeight="1" x14ac:dyDescent="0.25">
      <c r="B96" s="82" t="s">
        <v>82</v>
      </c>
      <c r="C96" s="8" t="s">
        <v>42</v>
      </c>
      <c r="D96" s="8"/>
      <c r="E96" t="s">
        <v>42</v>
      </c>
      <c r="F96">
        <f t="shared" ref="F96:F107" si="74">IF(E96=$B$12,I96,0)</f>
        <v>3</v>
      </c>
      <c r="G96">
        <f t="shared" ref="G96:G107" si="75">IF(F96&gt;0,0,1)</f>
        <v>0</v>
      </c>
      <c r="H96" s="141" t="s">
        <v>435</v>
      </c>
      <c r="I96">
        <v>3</v>
      </c>
      <c r="K96" t="s">
        <v>63</v>
      </c>
      <c r="L96" t="s">
        <v>55</v>
      </c>
      <c r="M96" s="5">
        <v>3</v>
      </c>
      <c r="N96" s="4" t="s">
        <v>36</v>
      </c>
      <c r="P96" s="86">
        <v>0</v>
      </c>
      <c r="Q96" s="1">
        <f t="shared" ref="Q96:Q107" si="76">ROUND((P96*0.4),0)</f>
        <v>0</v>
      </c>
      <c r="R96">
        <f t="shared" si="73"/>
        <v>0</v>
      </c>
      <c r="S96" s="6"/>
      <c r="T96" s="61">
        <v>4</v>
      </c>
      <c r="U96" s="61">
        <f t="shared" ref="U96:U107" si="77">IF(V96=$AE$2,47,IF(V96=$AE$1,ROUND(((P96+500)*0.039),0),IF(V96=$AE$3,0)))</f>
        <v>0</v>
      </c>
      <c r="V96" s="7" t="str">
        <f t="shared" si="67"/>
        <v>NONE</v>
      </c>
      <c r="W96" s="56"/>
      <c r="X96" s="5"/>
      <c r="Y96" s="61">
        <f t="shared" ref="Y96:Y107" si="78">R96+Q96</f>
        <v>0</v>
      </c>
      <c r="Z96" s="61"/>
      <c r="AA96" s="1">
        <f t="shared" si="69"/>
        <v>0</v>
      </c>
      <c r="AB96" s="1">
        <f t="shared" si="70"/>
        <v>130</v>
      </c>
      <c r="AC96" s="1"/>
      <c r="AD96" s="65">
        <f t="shared" ref="AD96:AD107" si="79">(P96+U96)-AB96</f>
        <v>-130</v>
      </c>
      <c r="AE96" s="1"/>
      <c r="AF96" s="1">
        <f t="shared" si="72"/>
        <v>0</v>
      </c>
      <c r="AG96" s="1">
        <f>IF(AH96&gt;0,AH71:AH106,0)</f>
        <v>0</v>
      </c>
      <c r="AH96" s="1">
        <f t="shared" si="48"/>
        <v>-130</v>
      </c>
      <c r="AJ96">
        <f t="shared" si="49"/>
        <v>0</v>
      </c>
      <c r="AK96">
        <f t="shared" si="50"/>
        <v>0</v>
      </c>
      <c r="AL96">
        <f t="shared" si="51"/>
        <v>0</v>
      </c>
      <c r="AM96">
        <f t="shared" si="52"/>
        <v>0</v>
      </c>
      <c r="AO96">
        <f t="shared" si="53"/>
        <v>0</v>
      </c>
      <c r="AP96">
        <f t="shared" si="54"/>
        <v>0</v>
      </c>
      <c r="AQ96">
        <f t="shared" si="55"/>
        <v>0</v>
      </c>
      <c r="AR96">
        <f t="shared" si="56"/>
        <v>0</v>
      </c>
    </row>
    <row r="97" spans="1:45" x14ac:dyDescent="0.25">
      <c r="B97" s="121" t="s">
        <v>392</v>
      </c>
      <c r="C97" s="121" t="s">
        <v>393</v>
      </c>
      <c r="D97" s="121"/>
      <c r="E97" s="121" t="s">
        <v>30</v>
      </c>
      <c r="F97" s="121">
        <f t="shared" si="74"/>
        <v>0</v>
      </c>
      <c r="G97" s="121">
        <f t="shared" si="75"/>
        <v>1</v>
      </c>
      <c r="H97" s="121" t="s">
        <v>389</v>
      </c>
      <c r="I97" s="121">
        <v>9</v>
      </c>
      <c r="J97" s="121"/>
      <c r="K97" s="121" t="s">
        <v>390</v>
      </c>
      <c r="L97" s="121" t="s">
        <v>55</v>
      </c>
      <c r="M97" s="87">
        <v>0</v>
      </c>
      <c r="N97" s="4" t="s">
        <v>394</v>
      </c>
      <c r="O97" s="121"/>
      <c r="P97" s="131">
        <v>2188</v>
      </c>
      <c r="Q97" s="125">
        <f t="shared" si="76"/>
        <v>875</v>
      </c>
      <c r="R97" s="121">
        <f t="shared" si="73"/>
        <v>1918</v>
      </c>
      <c r="S97" s="136" t="s">
        <v>391</v>
      </c>
      <c r="T97" s="126">
        <v>4</v>
      </c>
      <c r="U97" s="126">
        <f t="shared" si="77"/>
        <v>105</v>
      </c>
      <c r="V97" s="129" t="str">
        <f>IF(W97=1,$AE$2,IF(W97=2,$AE$1,IF(AND(W97&lt;&gt;1,W97&lt;&gt;20)=TRUE,$AE$3)))</f>
        <v>PAYPAL</v>
      </c>
      <c r="W97" s="127">
        <v>2</v>
      </c>
      <c r="X97" s="87" t="s">
        <v>351</v>
      </c>
      <c r="Y97" s="126">
        <f t="shared" si="78"/>
        <v>2793</v>
      </c>
      <c r="Z97" s="126"/>
      <c r="AA97" s="125">
        <f>IF(X97=$AA$1,R97-500,0)</f>
        <v>0</v>
      </c>
      <c r="AB97" s="125">
        <f>IF(I97&gt;0,130,0)</f>
        <v>130</v>
      </c>
      <c r="AC97" s="125"/>
      <c r="AD97" s="128">
        <f t="shared" si="79"/>
        <v>2163</v>
      </c>
      <c r="AE97" s="125"/>
      <c r="AF97" s="125">
        <f>IF(I97&gt;0,30*G97,0)</f>
        <v>30</v>
      </c>
      <c r="AG97" s="125">
        <f>IF(AH97&gt;0,AH51:AH97,0)</f>
        <v>2133</v>
      </c>
      <c r="AH97" s="125">
        <f t="shared" si="48"/>
        <v>2133</v>
      </c>
      <c r="AJ97">
        <f t="shared" si="49"/>
        <v>0</v>
      </c>
      <c r="AK97">
        <f t="shared" si="50"/>
        <v>0</v>
      </c>
      <c r="AL97">
        <f t="shared" si="51"/>
        <v>0</v>
      </c>
      <c r="AM97">
        <f t="shared" si="52"/>
        <v>2188</v>
      </c>
      <c r="AO97">
        <f t="shared" si="53"/>
        <v>0</v>
      </c>
      <c r="AP97">
        <f t="shared" si="54"/>
        <v>0</v>
      </c>
      <c r="AQ97">
        <f t="shared" si="55"/>
        <v>0</v>
      </c>
      <c r="AR97">
        <f t="shared" si="56"/>
        <v>2188</v>
      </c>
    </row>
    <row r="98" spans="1:45" x14ac:dyDescent="0.25">
      <c r="B98" s="89" t="s">
        <v>317</v>
      </c>
      <c r="C98" t="s">
        <v>332</v>
      </c>
      <c r="E98" t="s">
        <v>30</v>
      </c>
      <c r="F98">
        <f t="shared" si="74"/>
        <v>0</v>
      </c>
      <c r="G98">
        <f t="shared" si="75"/>
        <v>1</v>
      </c>
      <c r="H98" t="s">
        <v>318</v>
      </c>
      <c r="I98">
        <v>8</v>
      </c>
      <c r="K98" t="s">
        <v>63</v>
      </c>
      <c r="L98" t="s">
        <v>55</v>
      </c>
      <c r="M98" s="5">
        <v>0</v>
      </c>
      <c r="N98" s="4" t="s">
        <v>36</v>
      </c>
      <c r="P98" s="86">
        <v>1532</v>
      </c>
      <c r="Q98" s="1">
        <f t="shared" si="76"/>
        <v>613</v>
      </c>
      <c r="R98">
        <f t="shared" si="73"/>
        <v>1498</v>
      </c>
      <c r="S98" s="6" t="s">
        <v>319</v>
      </c>
      <c r="T98" s="61">
        <v>4</v>
      </c>
      <c r="U98" s="61">
        <f t="shared" si="77"/>
        <v>79</v>
      </c>
      <c r="V98" s="7" t="str">
        <f t="shared" si="67"/>
        <v>PAYPAL</v>
      </c>
      <c r="W98" s="56">
        <v>2</v>
      </c>
      <c r="X98" s="5" t="s">
        <v>475</v>
      </c>
      <c r="Y98" s="61">
        <f t="shared" si="78"/>
        <v>2111</v>
      </c>
      <c r="Z98" s="61"/>
      <c r="AA98" s="1">
        <f t="shared" si="69"/>
        <v>0</v>
      </c>
      <c r="AB98" s="1">
        <f t="shared" si="70"/>
        <v>130</v>
      </c>
      <c r="AC98" s="1"/>
      <c r="AD98" s="65">
        <f t="shared" si="79"/>
        <v>1481</v>
      </c>
      <c r="AE98" s="1"/>
      <c r="AF98" s="1">
        <f t="shared" si="72"/>
        <v>30</v>
      </c>
      <c r="AG98" s="1">
        <f>IF(AH98&gt;0,AH58:AH98,0)</f>
        <v>1451</v>
      </c>
      <c r="AH98" s="1">
        <f t="shared" si="48"/>
        <v>1451</v>
      </c>
      <c r="AJ98">
        <f t="shared" si="49"/>
        <v>0</v>
      </c>
      <c r="AK98">
        <f t="shared" si="50"/>
        <v>0</v>
      </c>
      <c r="AL98">
        <f t="shared" si="51"/>
        <v>0</v>
      </c>
      <c r="AM98">
        <f t="shared" si="52"/>
        <v>1532</v>
      </c>
      <c r="AO98">
        <f t="shared" si="53"/>
        <v>0</v>
      </c>
      <c r="AP98">
        <f t="shared" si="54"/>
        <v>0</v>
      </c>
      <c r="AQ98">
        <f t="shared" si="55"/>
        <v>0</v>
      </c>
      <c r="AR98">
        <f t="shared" si="56"/>
        <v>1532</v>
      </c>
    </row>
    <row r="99" spans="1:45" x14ac:dyDescent="0.25">
      <c r="B99" s="82" t="s">
        <v>82</v>
      </c>
      <c r="C99" s="8"/>
      <c r="D99" s="8"/>
      <c r="E99" t="s">
        <v>42</v>
      </c>
      <c r="F99">
        <f t="shared" si="74"/>
        <v>3</v>
      </c>
      <c r="G99">
        <f t="shared" si="75"/>
        <v>0</v>
      </c>
      <c r="H99" t="s">
        <v>423</v>
      </c>
      <c r="I99">
        <v>3</v>
      </c>
      <c r="K99" t="s">
        <v>63</v>
      </c>
      <c r="L99" t="s">
        <v>55</v>
      </c>
      <c r="M99" s="5">
        <v>3</v>
      </c>
      <c r="N99" s="4" t="s">
        <v>36</v>
      </c>
      <c r="P99" s="86">
        <v>0</v>
      </c>
      <c r="Q99" s="1">
        <f t="shared" si="76"/>
        <v>0</v>
      </c>
      <c r="R99">
        <f t="shared" si="73"/>
        <v>0</v>
      </c>
      <c r="S99" s="6"/>
      <c r="T99" s="61"/>
      <c r="U99" s="61">
        <f t="shared" si="77"/>
        <v>0</v>
      </c>
      <c r="V99" s="7" t="str">
        <f>IF(W99=1,$AE$2,IF(W99=2,$AE$1,IF(AND(W99&lt;&gt;1,W99&lt;&gt;20)=TRUE,$AE$3)))</f>
        <v>NONE</v>
      </c>
      <c r="W99" s="56"/>
      <c r="X99" s="5"/>
      <c r="Y99" s="61">
        <f t="shared" si="78"/>
        <v>0</v>
      </c>
      <c r="Z99" s="61"/>
      <c r="AA99" s="1">
        <f>IF(X99=$AA$1,R99-500,0)</f>
        <v>0</v>
      </c>
      <c r="AB99" s="1">
        <f>IF(I99&gt;0,130,0)</f>
        <v>130</v>
      </c>
      <c r="AC99" s="1"/>
      <c r="AD99" s="65">
        <f t="shared" si="79"/>
        <v>-130</v>
      </c>
      <c r="AE99" s="1"/>
      <c r="AF99" s="1">
        <f>IF(I99&gt;0,30*G99,0)</f>
        <v>0</v>
      </c>
      <c r="AG99" s="1">
        <f>IF(AH99&gt;0,AH52:AH99,0)</f>
        <v>0</v>
      </c>
      <c r="AH99" s="1">
        <f>AD99-AF99</f>
        <v>-130</v>
      </c>
      <c r="AJ99">
        <f t="shared" si="49"/>
        <v>0</v>
      </c>
      <c r="AK99">
        <f t="shared" si="50"/>
        <v>0</v>
      </c>
      <c r="AL99">
        <f t="shared" si="51"/>
        <v>0</v>
      </c>
      <c r="AM99">
        <f t="shared" si="52"/>
        <v>0</v>
      </c>
      <c r="AO99">
        <f t="shared" si="53"/>
        <v>0</v>
      </c>
      <c r="AP99">
        <f t="shared" si="54"/>
        <v>0</v>
      </c>
      <c r="AQ99">
        <f t="shared" si="55"/>
        <v>0</v>
      </c>
      <c r="AR99">
        <f t="shared" si="56"/>
        <v>0</v>
      </c>
    </row>
    <row r="100" spans="1:45" x14ac:dyDescent="0.25">
      <c r="B100" s="8" t="s">
        <v>312</v>
      </c>
      <c r="C100" t="s">
        <v>311</v>
      </c>
      <c r="E100" t="s">
        <v>30</v>
      </c>
      <c r="F100">
        <f t="shared" si="74"/>
        <v>0</v>
      </c>
      <c r="G100">
        <f t="shared" si="75"/>
        <v>1</v>
      </c>
      <c r="H100" t="s">
        <v>313</v>
      </c>
      <c r="I100">
        <v>17</v>
      </c>
      <c r="K100" t="s">
        <v>80</v>
      </c>
      <c r="L100" t="s">
        <v>55</v>
      </c>
      <c r="M100" s="5">
        <v>0</v>
      </c>
      <c r="N100" s="4" t="s">
        <v>36</v>
      </c>
      <c r="P100" s="86">
        <v>3039</v>
      </c>
      <c r="Q100" s="1">
        <f t="shared" si="76"/>
        <v>1216</v>
      </c>
      <c r="R100">
        <f t="shared" si="73"/>
        <v>2461</v>
      </c>
      <c r="S100" s="6" t="s">
        <v>314</v>
      </c>
      <c r="T100" s="61">
        <v>4</v>
      </c>
      <c r="U100" s="61">
        <f t="shared" si="77"/>
        <v>138</v>
      </c>
      <c r="V100" s="7" t="str">
        <f t="shared" si="67"/>
        <v>PAYPAL</v>
      </c>
      <c r="W100" s="56">
        <v>2</v>
      </c>
      <c r="X100" s="5" t="s">
        <v>481</v>
      </c>
      <c r="Y100" s="61">
        <f t="shared" si="78"/>
        <v>3677</v>
      </c>
      <c r="Z100" s="61"/>
      <c r="AA100" s="1">
        <f t="shared" si="69"/>
        <v>0</v>
      </c>
      <c r="AB100" s="1">
        <f t="shared" si="70"/>
        <v>130</v>
      </c>
      <c r="AC100" s="1"/>
      <c r="AD100" s="65">
        <f t="shared" si="79"/>
        <v>3047</v>
      </c>
      <c r="AE100" s="1"/>
      <c r="AF100" s="1">
        <f t="shared" si="72"/>
        <v>30</v>
      </c>
      <c r="AG100" s="1">
        <f>IF(AH100&gt;0,AH57:AH100,0)</f>
        <v>3017</v>
      </c>
      <c r="AH100" s="1">
        <f t="shared" si="48"/>
        <v>3017</v>
      </c>
      <c r="AJ100">
        <f t="shared" si="49"/>
        <v>0</v>
      </c>
      <c r="AK100">
        <f t="shared" si="50"/>
        <v>0</v>
      </c>
      <c r="AL100">
        <f t="shared" si="51"/>
        <v>0</v>
      </c>
      <c r="AM100">
        <f t="shared" si="52"/>
        <v>3039</v>
      </c>
      <c r="AO100">
        <f t="shared" si="53"/>
        <v>0</v>
      </c>
      <c r="AP100">
        <f t="shared" si="54"/>
        <v>0</v>
      </c>
      <c r="AQ100">
        <f t="shared" si="55"/>
        <v>0</v>
      </c>
      <c r="AR100">
        <f t="shared" si="56"/>
        <v>3039</v>
      </c>
    </row>
    <row r="101" spans="1:45" x14ac:dyDescent="0.25">
      <c r="B101" s="87" t="s">
        <v>457</v>
      </c>
      <c r="C101" t="s">
        <v>458</v>
      </c>
      <c r="E101" t="s">
        <v>370</v>
      </c>
      <c r="F101">
        <f t="shared" si="74"/>
        <v>0</v>
      </c>
      <c r="G101">
        <f t="shared" si="75"/>
        <v>1</v>
      </c>
      <c r="H101" t="s">
        <v>459</v>
      </c>
      <c r="I101">
        <v>5</v>
      </c>
      <c r="K101" t="s">
        <v>325</v>
      </c>
      <c r="L101" t="s">
        <v>55</v>
      </c>
      <c r="M101" s="5">
        <v>0</v>
      </c>
      <c r="N101" s="4" t="s">
        <v>36</v>
      </c>
      <c r="P101" s="86">
        <v>919</v>
      </c>
      <c r="Q101" s="1">
        <f t="shared" si="76"/>
        <v>368</v>
      </c>
      <c r="R101">
        <f t="shared" si="73"/>
        <v>1106</v>
      </c>
      <c r="S101" s="6" t="s">
        <v>460</v>
      </c>
      <c r="T101" s="61">
        <v>4</v>
      </c>
      <c r="U101" s="61">
        <f t="shared" si="77"/>
        <v>55</v>
      </c>
      <c r="V101" s="138" t="str">
        <f t="shared" ref="V101:V107" si="80">IF(W101=1,$AE$2,IF(W101=2,$AE$1,IF(AND(W101&lt;&gt;1,W101&lt;&gt;20)=TRUE,$AE$3)))</f>
        <v>PAYPAL</v>
      </c>
      <c r="W101" s="56">
        <v>2</v>
      </c>
      <c r="X101" s="5" t="s">
        <v>351</v>
      </c>
      <c r="Y101" s="61">
        <f t="shared" si="78"/>
        <v>1474</v>
      </c>
      <c r="Z101" s="61"/>
      <c r="AA101" s="1">
        <f t="shared" ref="AA101:AA107" si="81">IF(X101=$AA$1,R101-500,0)</f>
        <v>0</v>
      </c>
      <c r="AB101" s="1">
        <f t="shared" ref="AB101:AB107" si="82">IF(I101&gt;0,130,0)</f>
        <v>130</v>
      </c>
      <c r="AC101" s="1"/>
      <c r="AD101" s="65">
        <f t="shared" si="79"/>
        <v>844</v>
      </c>
      <c r="AE101" s="1"/>
      <c r="AF101" s="1">
        <f t="shared" ref="AF101:AF107" si="83">IF(I101&gt;0,30*G101,0)</f>
        <v>30</v>
      </c>
      <c r="AG101" s="1">
        <f>IF(AH101&gt;0,AH49:AH101,0)</f>
        <v>814</v>
      </c>
      <c r="AH101" s="1">
        <f>AD101-AF101</f>
        <v>814</v>
      </c>
      <c r="AJ101">
        <f>IF(T101=1,P101-U101,0)</f>
        <v>0</v>
      </c>
      <c r="AK101">
        <f>IF(T101=2,P101-U101,0)</f>
        <v>0</v>
      </c>
      <c r="AL101">
        <f>IF(T101=3,P101-U101,0)</f>
        <v>0</v>
      </c>
      <c r="AM101">
        <f>IF(T101=4,P101-U101,0)</f>
        <v>864</v>
      </c>
      <c r="AO101">
        <f>IF(T101=1,P101-U101,0)</f>
        <v>0</v>
      </c>
      <c r="AP101">
        <f>IF(T101=2,P101-U101,0)</f>
        <v>0</v>
      </c>
      <c r="AQ101">
        <f>IF(T101=3,P101-U101,0)</f>
        <v>0</v>
      </c>
      <c r="AR101">
        <f>IF(T101=4,P101-U101,0)</f>
        <v>864</v>
      </c>
    </row>
    <row r="102" spans="1:45" x14ac:dyDescent="0.25">
      <c r="B102" s="82" t="s">
        <v>82</v>
      </c>
      <c r="C102" s="8" t="s">
        <v>42</v>
      </c>
      <c r="D102" s="8"/>
      <c r="E102" t="s">
        <v>42</v>
      </c>
      <c r="F102">
        <f t="shared" si="74"/>
        <v>4</v>
      </c>
      <c r="G102">
        <f t="shared" si="75"/>
        <v>0</v>
      </c>
      <c r="H102" t="s">
        <v>291</v>
      </c>
      <c r="I102">
        <v>4</v>
      </c>
      <c r="K102" t="s">
        <v>63</v>
      </c>
      <c r="L102" t="s">
        <v>55</v>
      </c>
      <c r="M102" s="5">
        <v>3</v>
      </c>
      <c r="N102" s="4" t="s">
        <v>36</v>
      </c>
      <c r="P102" s="86">
        <v>0</v>
      </c>
      <c r="Q102" s="1">
        <f t="shared" si="76"/>
        <v>0</v>
      </c>
      <c r="R102">
        <f t="shared" si="73"/>
        <v>0</v>
      </c>
      <c r="S102" s="6"/>
      <c r="T102" s="61">
        <v>4</v>
      </c>
      <c r="U102" s="61">
        <f t="shared" si="77"/>
        <v>0</v>
      </c>
      <c r="V102" s="7" t="str">
        <f t="shared" si="80"/>
        <v>NONE</v>
      </c>
      <c r="W102" s="56"/>
      <c r="X102" s="5"/>
      <c r="Y102" s="61">
        <f t="shared" si="78"/>
        <v>0</v>
      </c>
      <c r="Z102" s="61"/>
      <c r="AA102" s="1">
        <f t="shared" si="81"/>
        <v>0</v>
      </c>
      <c r="AB102" s="1">
        <f t="shared" si="82"/>
        <v>130</v>
      </c>
      <c r="AC102" s="1"/>
      <c r="AD102" s="65">
        <f t="shared" si="79"/>
        <v>-130</v>
      </c>
      <c r="AE102" s="1"/>
      <c r="AF102" s="1">
        <f t="shared" si="83"/>
        <v>0</v>
      </c>
      <c r="AG102" s="1">
        <f>IF(AH102&gt;0,AH69:AH102,0)</f>
        <v>0</v>
      </c>
      <c r="AH102" s="1">
        <f t="shared" si="48"/>
        <v>-130</v>
      </c>
      <c r="AJ102">
        <f t="shared" si="49"/>
        <v>0</v>
      </c>
      <c r="AK102">
        <f t="shared" si="50"/>
        <v>0</v>
      </c>
      <c r="AL102">
        <f t="shared" si="51"/>
        <v>0</v>
      </c>
      <c r="AM102">
        <f t="shared" si="52"/>
        <v>0</v>
      </c>
      <c r="AO102">
        <f t="shared" si="53"/>
        <v>0</v>
      </c>
      <c r="AP102">
        <f t="shared" si="54"/>
        <v>0</v>
      </c>
      <c r="AQ102">
        <f t="shared" si="55"/>
        <v>0</v>
      </c>
      <c r="AR102">
        <f t="shared" si="56"/>
        <v>0</v>
      </c>
    </row>
    <row r="103" spans="1:45" x14ac:dyDescent="0.25">
      <c r="B103" s="134" t="s">
        <v>432</v>
      </c>
      <c r="C103" s="8" t="s">
        <v>42</v>
      </c>
      <c r="D103" s="8"/>
      <c r="E103" t="s">
        <v>42</v>
      </c>
      <c r="F103">
        <f t="shared" si="74"/>
        <v>14</v>
      </c>
      <c r="G103">
        <f t="shared" si="75"/>
        <v>0</v>
      </c>
      <c r="H103" t="s">
        <v>433</v>
      </c>
      <c r="I103">
        <v>14</v>
      </c>
      <c r="K103" t="s">
        <v>434</v>
      </c>
      <c r="L103" t="s">
        <v>55</v>
      </c>
      <c r="M103" s="5">
        <v>0</v>
      </c>
      <c r="N103" s="4" t="s">
        <v>36</v>
      </c>
      <c r="P103" s="86">
        <v>0</v>
      </c>
      <c r="Q103" s="1">
        <f t="shared" si="76"/>
        <v>0</v>
      </c>
      <c r="R103">
        <f t="shared" si="73"/>
        <v>0</v>
      </c>
      <c r="S103" s="6"/>
      <c r="T103" s="61"/>
      <c r="U103" s="61">
        <f t="shared" si="77"/>
        <v>0</v>
      </c>
      <c r="V103" s="7" t="str">
        <f t="shared" si="80"/>
        <v>NONE</v>
      </c>
      <c r="W103" s="56"/>
      <c r="X103" s="5"/>
      <c r="Y103" s="61">
        <f t="shared" si="78"/>
        <v>0</v>
      </c>
      <c r="Z103" s="61"/>
      <c r="AA103" s="1">
        <f t="shared" si="81"/>
        <v>0</v>
      </c>
      <c r="AB103" s="1">
        <f t="shared" si="82"/>
        <v>130</v>
      </c>
      <c r="AC103" s="1"/>
      <c r="AD103" s="65">
        <f t="shared" si="79"/>
        <v>-130</v>
      </c>
      <c r="AE103" s="1"/>
      <c r="AF103" s="1">
        <f t="shared" si="83"/>
        <v>0</v>
      </c>
      <c r="AG103" s="1">
        <f>IF(AH103&gt;0,AH55:AH103,0)</f>
        <v>0</v>
      </c>
      <c r="AH103" s="1">
        <f>AD103-AF103</f>
        <v>-130</v>
      </c>
      <c r="AJ103">
        <f>IF(T103=1,P103-U103,0)</f>
        <v>0</v>
      </c>
      <c r="AK103">
        <f>IF(T103=2,P103-U103,0)</f>
        <v>0</v>
      </c>
      <c r="AL103">
        <f>IF(T103=3,P103-U103,0)</f>
        <v>0</v>
      </c>
      <c r="AM103">
        <f>IF(T103=4,P103-U103,0)</f>
        <v>0</v>
      </c>
      <c r="AO103">
        <f>IF(T103=1,P103-U103,0)</f>
        <v>0</v>
      </c>
      <c r="AP103">
        <f>IF(T103=2,P103-U103,0)</f>
        <v>0</v>
      </c>
      <c r="AQ103">
        <f>IF(T103=3,P103-U103,0)</f>
        <v>0</v>
      </c>
      <c r="AR103">
        <f>IF(T103=4,P103-U103,0)</f>
        <v>0</v>
      </c>
    </row>
    <row r="104" spans="1:45" x14ac:dyDescent="0.25">
      <c r="B104" t="s">
        <v>407</v>
      </c>
      <c r="C104" t="s">
        <v>408</v>
      </c>
      <c r="E104" t="s">
        <v>30</v>
      </c>
      <c r="F104">
        <f t="shared" si="74"/>
        <v>0</v>
      </c>
      <c r="G104">
        <f t="shared" si="75"/>
        <v>1</v>
      </c>
      <c r="H104" t="s">
        <v>409</v>
      </c>
      <c r="I104">
        <v>9</v>
      </c>
      <c r="K104" t="s">
        <v>143</v>
      </c>
      <c r="L104" t="s">
        <v>55</v>
      </c>
      <c r="M104" s="5">
        <v>0</v>
      </c>
      <c r="N104" s="4" t="s">
        <v>36</v>
      </c>
      <c r="P104" s="86">
        <v>1872</v>
      </c>
      <c r="Q104" s="132">
        <f t="shared" si="76"/>
        <v>749</v>
      </c>
      <c r="R104">
        <f t="shared" si="73"/>
        <v>1716</v>
      </c>
      <c r="S104" s="6" t="s">
        <v>410</v>
      </c>
      <c r="T104" s="61">
        <v>4</v>
      </c>
      <c r="U104" s="61">
        <f t="shared" si="77"/>
        <v>93</v>
      </c>
      <c r="V104" s="7" t="str">
        <f t="shared" si="80"/>
        <v>PAYPAL</v>
      </c>
      <c r="W104" s="56">
        <v>2</v>
      </c>
      <c r="X104" s="5" t="s">
        <v>482</v>
      </c>
      <c r="Y104" s="61">
        <f t="shared" si="78"/>
        <v>2465</v>
      </c>
      <c r="Z104" s="61"/>
      <c r="AA104" s="1">
        <f t="shared" si="81"/>
        <v>0</v>
      </c>
      <c r="AB104" s="1">
        <f t="shared" si="82"/>
        <v>130</v>
      </c>
      <c r="AC104" s="1"/>
      <c r="AD104" s="65">
        <f t="shared" si="79"/>
        <v>1835</v>
      </c>
      <c r="AE104" s="1"/>
      <c r="AF104" s="1">
        <f t="shared" si="83"/>
        <v>30</v>
      </c>
      <c r="AG104" s="1">
        <f>IF(AH104&gt;0,AH57:AH105,0)</f>
        <v>1805</v>
      </c>
      <c r="AH104" s="1">
        <f t="shared" si="48"/>
        <v>1805</v>
      </c>
      <c r="AJ104">
        <f>IF(T104=1,P104,0)</f>
        <v>0</v>
      </c>
      <c r="AK104">
        <f>IF(T104=2,P104,0)</f>
        <v>0</v>
      </c>
      <c r="AL104">
        <f>IF(T104=3,P104,0)</f>
        <v>0</v>
      </c>
      <c r="AM104">
        <f>IF(T104=4,P104,0)</f>
        <v>1872</v>
      </c>
      <c r="AO104">
        <f>IF(T104=1,P104,0)</f>
        <v>0</v>
      </c>
      <c r="AP104">
        <f>IF(T104=2,P104,0)</f>
        <v>0</v>
      </c>
      <c r="AQ104">
        <f>IF(T104=3,P104,0)</f>
        <v>0</v>
      </c>
      <c r="AR104">
        <f>IF(T104=4,P104,0)</f>
        <v>1872</v>
      </c>
    </row>
    <row r="105" spans="1:45" x14ac:dyDescent="0.25">
      <c r="B105" t="s">
        <v>396</v>
      </c>
      <c r="C105" t="s">
        <v>397</v>
      </c>
      <c r="E105" t="s">
        <v>30</v>
      </c>
      <c r="F105">
        <f t="shared" si="74"/>
        <v>0</v>
      </c>
      <c r="G105">
        <f t="shared" si="75"/>
        <v>1</v>
      </c>
      <c r="H105" t="s">
        <v>398</v>
      </c>
      <c r="I105">
        <v>5</v>
      </c>
      <c r="K105" t="s">
        <v>399</v>
      </c>
      <c r="L105" t="s">
        <v>55</v>
      </c>
      <c r="M105" s="5">
        <v>0</v>
      </c>
      <c r="N105" s="4" t="s">
        <v>36</v>
      </c>
      <c r="P105" s="86">
        <v>1111</v>
      </c>
      <c r="Q105" s="1">
        <f t="shared" si="76"/>
        <v>444</v>
      </c>
      <c r="R105">
        <f t="shared" si="73"/>
        <v>1230</v>
      </c>
      <c r="S105" s="6" t="s">
        <v>400</v>
      </c>
      <c r="T105" s="61">
        <v>4</v>
      </c>
      <c r="U105" s="61">
        <f t="shared" si="77"/>
        <v>63</v>
      </c>
      <c r="V105" s="7" t="str">
        <f t="shared" si="80"/>
        <v>PAYPAL</v>
      </c>
      <c r="W105" s="56">
        <v>2</v>
      </c>
      <c r="X105" s="5" t="s">
        <v>487</v>
      </c>
      <c r="Y105" s="61">
        <f t="shared" si="78"/>
        <v>1674</v>
      </c>
      <c r="Z105" s="61"/>
      <c r="AA105" s="1">
        <f t="shared" si="81"/>
        <v>0</v>
      </c>
      <c r="AB105" s="1">
        <f t="shared" si="82"/>
        <v>130</v>
      </c>
      <c r="AC105" s="1"/>
      <c r="AD105" s="65">
        <f t="shared" si="79"/>
        <v>1044</v>
      </c>
      <c r="AE105" s="1"/>
      <c r="AF105" s="1">
        <f t="shared" si="83"/>
        <v>30</v>
      </c>
      <c r="AG105" s="1">
        <f>IF(AH105&gt;0,AH56:AH105,0)</f>
        <v>1014</v>
      </c>
      <c r="AH105" s="1">
        <f t="shared" si="48"/>
        <v>1014</v>
      </c>
      <c r="AJ105">
        <f t="shared" si="49"/>
        <v>0</v>
      </c>
      <c r="AK105">
        <f t="shared" si="50"/>
        <v>0</v>
      </c>
      <c r="AL105">
        <f t="shared" si="51"/>
        <v>0</v>
      </c>
      <c r="AM105">
        <f t="shared" si="52"/>
        <v>1111</v>
      </c>
      <c r="AO105">
        <f t="shared" si="53"/>
        <v>0</v>
      </c>
      <c r="AP105">
        <f t="shared" si="54"/>
        <v>0</v>
      </c>
      <c r="AQ105">
        <f t="shared" si="55"/>
        <v>0</v>
      </c>
      <c r="AR105">
        <f t="shared" si="56"/>
        <v>1111</v>
      </c>
    </row>
    <row r="106" spans="1:45" x14ac:dyDescent="0.25">
      <c r="B106" s="82" t="s">
        <v>82</v>
      </c>
      <c r="C106" s="8" t="s">
        <v>42</v>
      </c>
      <c r="D106" s="8"/>
      <c r="E106" t="s">
        <v>42</v>
      </c>
      <c r="F106">
        <f t="shared" si="74"/>
        <v>4</v>
      </c>
      <c r="G106">
        <f t="shared" si="75"/>
        <v>0</v>
      </c>
      <c r="H106" t="s">
        <v>292</v>
      </c>
      <c r="I106">
        <v>4</v>
      </c>
      <c r="K106" t="s">
        <v>63</v>
      </c>
      <c r="L106" t="s">
        <v>55</v>
      </c>
      <c r="M106" s="5">
        <v>3</v>
      </c>
      <c r="N106" s="4" t="s">
        <v>36</v>
      </c>
      <c r="P106" s="86">
        <v>0</v>
      </c>
      <c r="Q106" s="1">
        <f t="shared" si="76"/>
        <v>0</v>
      </c>
      <c r="R106">
        <f t="shared" si="73"/>
        <v>0</v>
      </c>
      <c r="S106" s="6"/>
      <c r="T106" s="61">
        <v>4</v>
      </c>
      <c r="U106" s="61">
        <f t="shared" si="77"/>
        <v>0</v>
      </c>
      <c r="V106" s="7" t="str">
        <f t="shared" si="80"/>
        <v>NONE</v>
      </c>
      <c r="W106" s="56"/>
      <c r="X106" s="5"/>
      <c r="Y106" s="61">
        <f t="shared" si="78"/>
        <v>0</v>
      </c>
      <c r="Z106" s="61"/>
      <c r="AA106" s="1">
        <f t="shared" si="81"/>
        <v>0</v>
      </c>
      <c r="AB106" s="1">
        <f t="shared" si="82"/>
        <v>130</v>
      </c>
      <c r="AC106" s="1"/>
      <c r="AD106" s="65">
        <f t="shared" si="79"/>
        <v>-130</v>
      </c>
      <c r="AE106" s="1"/>
      <c r="AF106" s="1">
        <f t="shared" si="83"/>
        <v>0</v>
      </c>
      <c r="AG106" s="1">
        <f>IF(AH106&gt;0,AH70:AH106,0)</f>
        <v>0</v>
      </c>
      <c r="AH106" s="1">
        <f t="shared" si="48"/>
        <v>-130</v>
      </c>
      <c r="AJ106">
        <f t="shared" si="49"/>
        <v>0</v>
      </c>
      <c r="AK106">
        <f t="shared" si="50"/>
        <v>0</v>
      </c>
      <c r="AL106">
        <f t="shared" si="51"/>
        <v>0</v>
      </c>
      <c r="AM106">
        <f t="shared" si="52"/>
        <v>0</v>
      </c>
      <c r="AO106">
        <f t="shared" si="53"/>
        <v>0</v>
      </c>
      <c r="AP106">
        <f t="shared" si="54"/>
        <v>0</v>
      </c>
      <c r="AQ106">
        <f t="shared" si="55"/>
        <v>0</v>
      </c>
      <c r="AR106">
        <f t="shared" si="56"/>
        <v>0</v>
      </c>
    </row>
    <row r="107" spans="1:45" x14ac:dyDescent="0.25">
      <c r="C107" s="8"/>
      <c r="D107" s="8"/>
      <c r="F107">
        <f t="shared" si="74"/>
        <v>0</v>
      </c>
      <c r="G107">
        <f t="shared" si="75"/>
        <v>1</v>
      </c>
      <c r="I107">
        <v>0</v>
      </c>
      <c r="N107" s="4"/>
      <c r="P107" s="86">
        <v>0</v>
      </c>
      <c r="Q107" s="1">
        <f t="shared" si="76"/>
        <v>0</v>
      </c>
      <c r="R107">
        <f t="shared" si="73"/>
        <v>0</v>
      </c>
      <c r="S107" s="6"/>
      <c r="T107" s="61">
        <v>4</v>
      </c>
      <c r="U107" s="61">
        <f t="shared" si="77"/>
        <v>0</v>
      </c>
      <c r="V107" s="7" t="str">
        <f t="shared" si="80"/>
        <v>NONE</v>
      </c>
      <c r="W107" s="56"/>
      <c r="X107" s="5"/>
      <c r="Y107" s="61">
        <f t="shared" si="78"/>
        <v>0</v>
      </c>
      <c r="Z107" s="61"/>
      <c r="AA107" s="1">
        <f t="shared" si="81"/>
        <v>0</v>
      </c>
      <c r="AB107" s="1">
        <f t="shared" si="82"/>
        <v>0</v>
      </c>
      <c r="AC107" s="1"/>
      <c r="AD107" s="65">
        <f t="shared" si="79"/>
        <v>0</v>
      </c>
      <c r="AE107" s="1"/>
      <c r="AF107" s="1">
        <f t="shared" si="83"/>
        <v>0</v>
      </c>
      <c r="AG107" s="1">
        <f>IF(AH107&gt;0,AH107,0)</f>
        <v>0</v>
      </c>
      <c r="AH107" s="1">
        <f t="shared" si="48"/>
        <v>0</v>
      </c>
      <c r="AJ107">
        <f t="shared" si="49"/>
        <v>0</v>
      </c>
      <c r="AK107">
        <f t="shared" si="50"/>
        <v>0</v>
      </c>
      <c r="AL107">
        <f t="shared" si="51"/>
        <v>0</v>
      </c>
      <c r="AM107">
        <f t="shared" si="52"/>
        <v>0</v>
      </c>
      <c r="AO107">
        <f t="shared" si="53"/>
        <v>0</v>
      </c>
      <c r="AP107">
        <f t="shared" si="54"/>
        <v>0</v>
      </c>
      <c r="AQ107">
        <f t="shared" si="55"/>
        <v>0</v>
      </c>
      <c r="AR107">
        <f t="shared" si="56"/>
        <v>0</v>
      </c>
    </row>
    <row r="108" spans="1:45" x14ac:dyDescent="0.25">
      <c r="A108" s="40"/>
      <c r="B108" s="155">
        <f>COUNTIFS(E75:E107,"&lt;&gt;NA")-COUNTIFS(E75:E107,"="&amp;$E$1)</f>
        <v>22</v>
      </c>
      <c r="C108" s="140" t="s">
        <v>472</v>
      </c>
      <c r="D108" s="140"/>
      <c r="E108" s="40">
        <f>SUM(F75:F107)</f>
        <v>105</v>
      </c>
      <c r="F108" s="40"/>
      <c r="G108" s="40"/>
      <c r="H108" s="54" t="s">
        <v>215</v>
      </c>
      <c r="I108" s="53">
        <f>SUM(I75:I107)-SUM(F75:F107)</f>
        <v>241</v>
      </c>
      <c r="J108" s="53"/>
      <c r="K108" s="52">
        <f>ROUND(I108/7,0)</f>
        <v>34</v>
      </c>
      <c r="L108" s="52" t="s">
        <v>214</v>
      </c>
      <c r="M108" s="54" t="s">
        <v>216</v>
      </c>
      <c r="N108" s="123">
        <f>ROUND(AG108/K108,0)</f>
        <v>1269</v>
      </c>
      <c r="O108" s="40"/>
      <c r="P108" s="71">
        <f>SUM(P75:P107)</f>
        <v>45928</v>
      </c>
      <c r="Q108" s="43"/>
      <c r="R108" s="69">
        <f>AA108</f>
        <v>0</v>
      </c>
      <c r="S108" s="68" t="s">
        <v>254</v>
      </c>
      <c r="T108" s="101"/>
      <c r="U108" s="62"/>
      <c r="V108" s="42"/>
      <c r="W108" s="42"/>
      <c r="X108" s="41"/>
      <c r="Y108" s="43"/>
      <c r="Z108" s="43">
        <f>AA108</f>
        <v>0</v>
      </c>
      <c r="AA108" s="43">
        <f>SUM(AA75:AA107)</f>
        <v>0</v>
      </c>
      <c r="AB108" s="43">
        <f>SUM(AB75:AB107)</f>
        <v>4160</v>
      </c>
      <c r="AC108" s="43">
        <f>AB108</f>
        <v>4160</v>
      </c>
      <c r="AD108" s="40"/>
      <c r="AE108" s="43"/>
      <c r="AF108" s="43">
        <f>SUM(AF75:AF107)</f>
        <v>660</v>
      </c>
      <c r="AG108" s="43">
        <f>SUM(AG75:AG107)</f>
        <v>43154</v>
      </c>
      <c r="AH108" s="71">
        <f>SUM(AH75:AH107)</f>
        <v>42830</v>
      </c>
      <c r="AI108" s="40">
        <f>AH108</f>
        <v>42830</v>
      </c>
      <c r="AJ108" s="104">
        <f>SUM(AJ75:AJ107)</f>
        <v>7426</v>
      </c>
      <c r="AK108" s="104">
        <f>SUM(AK75:AK107)</f>
        <v>12791</v>
      </c>
      <c r="AL108" s="104">
        <f>SUM(AL75:AL107)</f>
        <v>15050</v>
      </c>
      <c r="AM108" s="104">
        <f>SUM(AM75:AM107)</f>
        <v>10606</v>
      </c>
      <c r="AN108" s="106">
        <f>SUM(AJ108:AM108)</f>
        <v>45873</v>
      </c>
      <c r="AO108" s="104">
        <f>SUM(AO75:AO107)</f>
        <v>7426</v>
      </c>
      <c r="AP108" s="104">
        <f>SUM(AP75:AP107)</f>
        <v>12791</v>
      </c>
      <c r="AQ108" s="104">
        <f>SUM(AQ75:AQ107)</f>
        <v>15050</v>
      </c>
      <c r="AR108" s="104">
        <f>SUM(AR75:AR107)</f>
        <v>10606</v>
      </c>
      <c r="AS108" s="106">
        <f>SUM(AO108:AR108)</f>
        <v>45873</v>
      </c>
    </row>
    <row r="109" spans="1:45" ht="23.25" x14ac:dyDescent="0.35">
      <c r="A109" s="27"/>
      <c r="B109" s="25">
        <v>2013</v>
      </c>
      <c r="C109" s="26"/>
      <c r="D109" s="26"/>
      <c r="E109" s="27"/>
      <c r="F109" s="27"/>
      <c r="G109" s="27"/>
      <c r="H109" s="27"/>
      <c r="I109" s="27"/>
      <c r="J109" s="27"/>
      <c r="K109" s="27"/>
      <c r="L109" s="27"/>
      <c r="M109" s="28"/>
      <c r="N109" s="29"/>
      <c r="O109" s="27"/>
      <c r="P109" s="30"/>
      <c r="Q109" s="30"/>
      <c r="R109" s="27"/>
      <c r="S109" s="31"/>
      <c r="T109" s="60"/>
      <c r="U109" s="60"/>
      <c r="V109" s="32"/>
      <c r="W109" s="59"/>
      <c r="X109" s="28"/>
      <c r="Y109" s="30"/>
      <c r="Z109" s="30"/>
      <c r="AA109" s="30"/>
      <c r="AB109" s="30"/>
      <c r="AC109" s="30"/>
      <c r="AD109" s="27"/>
      <c r="AE109" s="30"/>
      <c r="AF109" s="30"/>
      <c r="AG109" s="30"/>
      <c r="AH109" s="30"/>
      <c r="AJ109" s="96">
        <f>ROUNDUP(AJ108*0.04,0)</f>
        <v>298</v>
      </c>
      <c r="AK109" s="96">
        <f>ROUNDUP(AK108*0.04,0)</f>
        <v>512</v>
      </c>
      <c r="AL109" s="96">
        <f>ROUNDUP(AL108*0.04,0)</f>
        <v>602</v>
      </c>
      <c r="AM109" s="96">
        <f>ROUNDUP(AM108*0.04,0)</f>
        <v>425</v>
      </c>
      <c r="AN109" s="106">
        <f>SUM(AJ109:AM109)</f>
        <v>1837</v>
      </c>
      <c r="AO109" s="96">
        <f>ROUNDUP(AO108*0.06,0)</f>
        <v>446</v>
      </c>
      <c r="AP109" s="96">
        <f>ROUNDUP(AP108*0.06,0)</f>
        <v>768</v>
      </c>
      <c r="AQ109" s="96">
        <f>ROUNDUP(AQ108*0.06,0)</f>
        <v>903</v>
      </c>
      <c r="AR109" s="96">
        <f>ROUNDUP(AR108*0.06,0)</f>
        <v>637</v>
      </c>
      <c r="AS109" s="106">
        <f>SUM(AO109:AR109)</f>
        <v>2754</v>
      </c>
    </row>
    <row r="110" spans="1:45" ht="18" customHeight="1" x14ac:dyDescent="0.25">
      <c r="B110" s="82" t="s">
        <v>82</v>
      </c>
      <c r="C110" s="8" t="s">
        <v>42</v>
      </c>
      <c r="D110" s="8"/>
      <c r="E110" t="s">
        <v>42</v>
      </c>
      <c r="F110">
        <f t="shared" ref="F110:F141" si="84">IF(E110=$B$12,I110,0)</f>
        <v>58</v>
      </c>
      <c r="G110">
        <f t="shared" ref="G110:G141" si="85">IF(F110&gt;0,0,1)</f>
        <v>0</v>
      </c>
      <c r="H110" s="83" t="s">
        <v>477</v>
      </c>
      <c r="I110">
        <f>31+27</f>
        <v>58</v>
      </c>
      <c r="K110" t="s">
        <v>143</v>
      </c>
      <c r="L110" t="s">
        <v>55</v>
      </c>
      <c r="M110" s="5">
        <v>3</v>
      </c>
      <c r="N110" s="4" t="s">
        <v>387</v>
      </c>
      <c r="P110" s="86">
        <v>0</v>
      </c>
      <c r="Q110" s="1">
        <f t="shared" ref="Q110:Q141" si="86">ROUND((P110*0.4),0)</f>
        <v>0</v>
      </c>
      <c r="R110">
        <f t="shared" ref="R110:R141" si="87">IF(P110&gt;0,((P110+500)-Q110)+U110,0)</f>
        <v>0</v>
      </c>
      <c r="S110" s="6"/>
      <c r="T110" s="61"/>
      <c r="U110" s="61">
        <f>IF(V110=$AE$2,47,IF(V110=$AE$1,ROUND(((P110+500)*0.039),0),IF(V110=$AE$3,0)))</f>
        <v>0</v>
      </c>
      <c r="V110" s="7" t="str">
        <f t="shared" ref="V110:V141" si="88">IF(W110=1,$AE$2,IF(W110=2,$AE$1,IF(AND(W110&lt;&gt;1,W110&lt;&gt;20)=TRUE,$AE$3)))</f>
        <v>NONE</v>
      </c>
      <c r="W110" s="56"/>
      <c r="X110" s="5"/>
      <c r="Y110" s="61">
        <f t="shared" ref="Y110:Y141" si="89">R110+Q110</f>
        <v>0</v>
      </c>
      <c r="Z110" s="61"/>
      <c r="AA110" s="1">
        <f t="shared" ref="AA110:AA141" si="90">IF(X110=$AA$1,R110-500,0)</f>
        <v>0</v>
      </c>
      <c r="AB110" s="1">
        <f t="shared" ref="AB110:AB141" si="91">IF(I110&gt;0,130,0)</f>
        <v>130</v>
      </c>
      <c r="AC110" s="1"/>
      <c r="AD110" s="65">
        <f t="shared" ref="AD110:AD141" si="92">(P110+U110)-AB110</f>
        <v>-130</v>
      </c>
      <c r="AE110" s="1"/>
      <c r="AF110" s="1">
        <f t="shared" ref="AF110:AF141" si="93">IF(I110&gt;0,30*G110,0)</f>
        <v>0</v>
      </c>
      <c r="AG110" s="1">
        <f>IF(AH110&gt;0,AH60:AH110,0)</f>
        <v>0</v>
      </c>
      <c r="AH110" s="1">
        <f t="shared" ref="AH110:AH141" si="94">AD110-AF110</f>
        <v>-130</v>
      </c>
      <c r="AJ110">
        <f t="shared" ref="AJ110:AJ141" si="95">IF(T110=1,P110-U110,0)</f>
        <v>0</v>
      </c>
      <c r="AK110">
        <f t="shared" ref="AK110:AK141" si="96">IF(T110=2,P110-U110,0)</f>
        <v>0</v>
      </c>
      <c r="AL110">
        <f t="shared" ref="AL110:AL141" si="97">IF(T110=3,P110-U110,0)</f>
        <v>0</v>
      </c>
      <c r="AM110">
        <f t="shared" ref="AM110:AM141" si="98">IF(T110=4,P110-U110,0)</f>
        <v>0</v>
      </c>
      <c r="AO110">
        <f t="shared" ref="AO110:AO141" si="99">IF(T110=1,P110-U110,0)</f>
        <v>0</v>
      </c>
      <c r="AP110">
        <f t="shared" ref="AP110:AP141" si="100">IF(T110=2,P110-U110,0)</f>
        <v>0</v>
      </c>
      <c r="AQ110">
        <f t="shared" ref="AQ110:AQ141" si="101">IF(T110=3,P110-U110,0)</f>
        <v>0</v>
      </c>
      <c r="AR110">
        <f t="shared" ref="AR110:AR141" si="102">IF(T110=4,P110-U110,0)</f>
        <v>0</v>
      </c>
    </row>
    <row r="111" spans="1:45" x14ac:dyDescent="0.25">
      <c r="B111" s="82" t="s">
        <v>82</v>
      </c>
      <c r="C111" s="8" t="s">
        <v>42</v>
      </c>
      <c r="D111" s="8"/>
      <c r="E111" t="s">
        <v>42</v>
      </c>
      <c r="F111">
        <f t="shared" si="84"/>
        <v>3</v>
      </c>
      <c r="G111">
        <f t="shared" si="85"/>
        <v>0</v>
      </c>
      <c r="H111" s="83" t="s">
        <v>476</v>
      </c>
      <c r="I111">
        <v>3</v>
      </c>
      <c r="K111" t="s">
        <v>143</v>
      </c>
      <c r="L111" t="s">
        <v>55</v>
      </c>
      <c r="M111" s="5">
        <v>3</v>
      </c>
      <c r="N111" s="4" t="s">
        <v>36</v>
      </c>
      <c r="P111" s="86">
        <v>0</v>
      </c>
      <c r="Q111" s="1">
        <f t="shared" si="86"/>
        <v>0</v>
      </c>
      <c r="R111">
        <f t="shared" si="87"/>
        <v>0</v>
      </c>
      <c r="S111" s="6"/>
      <c r="T111" s="61"/>
      <c r="U111" s="61">
        <f>IF(V111=$AE$2,47,IF(V111=$AE$1,ROUND(((P111+500)*0.039),0),IF(V111=$AE$3,0)))</f>
        <v>0</v>
      </c>
      <c r="V111" s="7" t="str">
        <f t="shared" si="88"/>
        <v>NONE</v>
      </c>
      <c r="W111" s="56"/>
      <c r="X111" s="5"/>
      <c r="Y111" s="61">
        <f t="shared" si="89"/>
        <v>0</v>
      </c>
      <c r="Z111" s="61"/>
      <c r="AA111" s="1">
        <f t="shared" si="90"/>
        <v>0</v>
      </c>
      <c r="AB111" s="1">
        <f t="shared" si="91"/>
        <v>130</v>
      </c>
      <c r="AC111" s="1"/>
      <c r="AD111" s="65">
        <f t="shared" si="92"/>
        <v>-130</v>
      </c>
      <c r="AE111" s="1"/>
      <c r="AF111" s="1">
        <f t="shared" si="93"/>
        <v>0</v>
      </c>
      <c r="AG111" s="1">
        <f>IF(AH111&gt;0,AH61:AH111,0)</f>
        <v>0</v>
      </c>
      <c r="AH111" s="1">
        <f t="shared" si="94"/>
        <v>-130</v>
      </c>
      <c r="AJ111">
        <f t="shared" si="95"/>
        <v>0</v>
      </c>
      <c r="AK111">
        <f t="shared" si="96"/>
        <v>0</v>
      </c>
      <c r="AL111">
        <f t="shared" si="97"/>
        <v>0</v>
      </c>
      <c r="AM111">
        <f t="shared" si="98"/>
        <v>0</v>
      </c>
      <c r="AO111">
        <f t="shared" si="99"/>
        <v>0</v>
      </c>
      <c r="AP111">
        <f t="shared" si="100"/>
        <v>0</v>
      </c>
      <c r="AQ111">
        <f t="shared" si="101"/>
        <v>0</v>
      </c>
      <c r="AR111">
        <f t="shared" si="102"/>
        <v>0</v>
      </c>
    </row>
    <row r="112" spans="1:45" x14ac:dyDescent="0.25">
      <c r="B112" s="130" t="s">
        <v>404</v>
      </c>
      <c r="C112" t="s">
        <v>405</v>
      </c>
      <c r="E112" t="s">
        <v>30</v>
      </c>
      <c r="F112">
        <f t="shared" si="84"/>
        <v>0</v>
      </c>
      <c r="G112">
        <f t="shared" si="85"/>
        <v>1</v>
      </c>
      <c r="H112" s="121" t="s">
        <v>403</v>
      </c>
      <c r="I112">
        <v>12</v>
      </c>
      <c r="K112" s="121" t="s">
        <v>74</v>
      </c>
      <c r="L112" t="s">
        <v>55</v>
      </c>
      <c r="M112" s="5">
        <v>3</v>
      </c>
      <c r="N112" s="4" t="s">
        <v>36</v>
      </c>
      <c r="P112" s="86">
        <f>2335+110</f>
        <v>2445</v>
      </c>
      <c r="Q112" s="1">
        <f t="shared" si="86"/>
        <v>978</v>
      </c>
      <c r="R112">
        <f t="shared" si="87"/>
        <v>2082</v>
      </c>
      <c r="S112" s="6" t="s">
        <v>406</v>
      </c>
      <c r="T112" s="61">
        <v>1</v>
      </c>
      <c r="U112" s="61">
        <f>IF(V112=$AE$2,47,IF(V112=$AE$1,ROUND(((P112+500)*0.039),0),IF(V112=$AE$3,0)))</f>
        <v>115</v>
      </c>
      <c r="V112" s="7" t="str">
        <f t="shared" si="88"/>
        <v>PAYPAL</v>
      </c>
      <c r="W112" s="56">
        <v>2</v>
      </c>
      <c r="X112" s="5" t="s">
        <v>528</v>
      </c>
      <c r="Y112" s="61">
        <f t="shared" si="89"/>
        <v>3060</v>
      </c>
      <c r="Z112" s="61"/>
      <c r="AA112" s="1">
        <f t="shared" si="90"/>
        <v>0</v>
      </c>
      <c r="AB112" s="1">
        <f t="shared" si="91"/>
        <v>130</v>
      </c>
      <c r="AC112" s="1"/>
      <c r="AD112" s="65">
        <f t="shared" si="92"/>
        <v>2430</v>
      </c>
      <c r="AE112" s="1"/>
      <c r="AF112" s="1">
        <f t="shared" si="93"/>
        <v>30</v>
      </c>
      <c r="AG112" s="1">
        <f>IF(AH112&gt;0,AH68:AH112,0)</f>
        <v>2400</v>
      </c>
      <c r="AH112" s="1">
        <f t="shared" si="94"/>
        <v>2400</v>
      </c>
      <c r="AJ112">
        <f t="shared" si="95"/>
        <v>2330</v>
      </c>
      <c r="AK112">
        <f t="shared" si="96"/>
        <v>0</v>
      </c>
      <c r="AL112">
        <f t="shared" si="97"/>
        <v>0</v>
      </c>
      <c r="AM112">
        <f t="shared" si="98"/>
        <v>0</v>
      </c>
      <c r="AO112">
        <f t="shared" si="99"/>
        <v>2330</v>
      </c>
      <c r="AP112">
        <f t="shared" si="100"/>
        <v>0</v>
      </c>
      <c r="AQ112">
        <f t="shared" si="101"/>
        <v>0</v>
      </c>
      <c r="AR112">
        <f t="shared" si="102"/>
        <v>0</v>
      </c>
    </row>
    <row r="113" spans="2:44" x14ac:dyDescent="0.25">
      <c r="B113" s="121" t="s">
        <v>533</v>
      </c>
      <c r="C113" t="s">
        <v>380</v>
      </c>
      <c r="E113" t="s">
        <v>370</v>
      </c>
      <c r="F113">
        <f t="shared" si="84"/>
        <v>0</v>
      </c>
      <c r="G113">
        <f t="shared" si="85"/>
        <v>1</v>
      </c>
      <c r="H113" t="s">
        <v>379</v>
      </c>
      <c r="I113">
        <v>10</v>
      </c>
      <c r="K113" t="s">
        <v>378</v>
      </c>
      <c r="L113" t="s">
        <v>55</v>
      </c>
      <c r="M113" s="5">
        <v>0</v>
      </c>
      <c r="N113" s="4" t="s">
        <v>36</v>
      </c>
      <c r="P113" s="86">
        <v>2335</v>
      </c>
      <c r="Q113" s="1">
        <f t="shared" si="86"/>
        <v>934</v>
      </c>
      <c r="R113">
        <f t="shared" si="87"/>
        <v>1983</v>
      </c>
      <c r="S113" s="6" t="s">
        <v>382</v>
      </c>
      <c r="T113" s="61">
        <v>1</v>
      </c>
      <c r="U113" s="61">
        <f>IF(V113=$AE$2,47,IF(V113=$AE$1,ROUND(((P113+500)*0.029),0),IF(V113=$AE$3,0)))</f>
        <v>82</v>
      </c>
      <c r="V113" s="7" t="str">
        <f t="shared" si="88"/>
        <v>PAYPAL</v>
      </c>
      <c r="W113" s="56">
        <v>2</v>
      </c>
      <c r="X113" s="147" t="s">
        <v>534</v>
      </c>
      <c r="Y113" s="61">
        <f t="shared" si="89"/>
        <v>2917</v>
      </c>
      <c r="Z113" s="61"/>
      <c r="AA113" s="1">
        <f t="shared" si="90"/>
        <v>0</v>
      </c>
      <c r="AB113" s="1">
        <f t="shared" si="91"/>
        <v>130</v>
      </c>
      <c r="AC113" s="1"/>
      <c r="AD113" s="65">
        <f t="shared" si="92"/>
        <v>2287</v>
      </c>
      <c r="AE113" s="1"/>
      <c r="AF113" s="1">
        <f t="shared" si="93"/>
        <v>30</v>
      </c>
      <c r="AG113" s="1">
        <f>IF(AH113&gt;0,AH62:AH113,0)</f>
        <v>2257</v>
      </c>
      <c r="AH113" s="1">
        <f t="shared" si="94"/>
        <v>2257</v>
      </c>
      <c r="AJ113">
        <f t="shared" si="95"/>
        <v>2253</v>
      </c>
      <c r="AK113">
        <f t="shared" si="96"/>
        <v>0</v>
      </c>
      <c r="AL113">
        <f t="shared" si="97"/>
        <v>0</v>
      </c>
      <c r="AM113">
        <f t="shared" si="98"/>
        <v>0</v>
      </c>
      <c r="AO113">
        <f t="shared" si="99"/>
        <v>2253</v>
      </c>
      <c r="AP113">
        <f t="shared" si="100"/>
        <v>0</v>
      </c>
      <c r="AQ113">
        <f t="shared" si="101"/>
        <v>0</v>
      </c>
      <c r="AR113">
        <f t="shared" si="102"/>
        <v>0</v>
      </c>
    </row>
    <row r="114" spans="2:44" x14ac:dyDescent="0.25">
      <c r="B114" s="8"/>
      <c r="C114" s="8"/>
      <c r="D114" s="8"/>
      <c r="F114">
        <f t="shared" si="84"/>
        <v>0</v>
      </c>
      <c r="G114">
        <f t="shared" si="85"/>
        <v>1</v>
      </c>
      <c r="N114" s="4"/>
      <c r="P114" s="86">
        <v>0</v>
      </c>
      <c r="Q114" s="1">
        <f t="shared" si="86"/>
        <v>0</v>
      </c>
      <c r="R114">
        <f t="shared" si="87"/>
        <v>0</v>
      </c>
      <c r="S114" s="6"/>
      <c r="T114" s="61"/>
      <c r="U114" s="61">
        <f t="shared" ref="U114:U141" si="103">IF(V114=$AE$2,47,IF(V114=$AE$1,ROUND(((P114+500)*0.039),0),IF(V114=$AE$3,0)))</f>
        <v>0</v>
      </c>
      <c r="V114" s="7" t="str">
        <f t="shared" si="88"/>
        <v>NONE</v>
      </c>
      <c r="W114" s="56"/>
      <c r="X114" s="5"/>
      <c r="Y114" s="61">
        <f t="shared" si="89"/>
        <v>0</v>
      </c>
      <c r="Z114" s="61"/>
      <c r="AA114" s="1">
        <f t="shared" si="90"/>
        <v>0</v>
      </c>
      <c r="AB114" s="1">
        <f t="shared" si="91"/>
        <v>0</v>
      </c>
      <c r="AC114" s="1"/>
      <c r="AD114" s="65">
        <f t="shared" si="92"/>
        <v>0</v>
      </c>
      <c r="AE114" s="1"/>
      <c r="AF114" s="1">
        <f t="shared" si="93"/>
        <v>0</v>
      </c>
      <c r="AG114" s="1">
        <f>IF(AH114&gt;0,AH63:AH114,0)</f>
        <v>0</v>
      </c>
      <c r="AH114" s="1">
        <f t="shared" si="94"/>
        <v>0</v>
      </c>
      <c r="AJ114">
        <f t="shared" si="95"/>
        <v>0</v>
      </c>
      <c r="AK114">
        <f t="shared" si="96"/>
        <v>0</v>
      </c>
      <c r="AL114">
        <f t="shared" si="97"/>
        <v>0</v>
      </c>
      <c r="AM114">
        <f t="shared" si="98"/>
        <v>0</v>
      </c>
      <c r="AO114">
        <f t="shared" si="99"/>
        <v>0</v>
      </c>
      <c r="AP114">
        <f t="shared" si="100"/>
        <v>0</v>
      </c>
      <c r="AQ114">
        <f t="shared" si="101"/>
        <v>0</v>
      </c>
      <c r="AR114">
        <f t="shared" si="102"/>
        <v>0</v>
      </c>
    </row>
    <row r="115" spans="2:44" x14ac:dyDescent="0.25">
      <c r="B115" s="82" t="s">
        <v>82</v>
      </c>
      <c r="C115" s="8" t="s">
        <v>42</v>
      </c>
      <c r="D115" s="8"/>
      <c r="E115" t="s">
        <v>42</v>
      </c>
      <c r="F115">
        <f t="shared" si="84"/>
        <v>3</v>
      </c>
      <c r="G115">
        <f t="shared" si="85"/>
        <v>0</v>
      </c>
      <c r="H115" s="83" t="s">
        <v>478</v>
      </c>
      <c r="I115">
        <v>3</v>
      </c>
      <c r="K115" t="s">
        <v>143</v>
      </c>
      <c r="L115" t="s">
        <v>55</v>
      </c>
      <c r="M115" s="5">
        <v>3</v>
      </c>
      <c r="N115" s="4" t="s">
        <v>36</v>
      </c>
      <c r="P115" s="86">
        <v>0</v>
      </c>
      <c r="Q115" s="1">
        <f t="shared" si="86"/>
        <v>0</v>
      </c>
      <c r="R115">
        <f t="shared" si="87"/>
        <v>0</v>
      </c>
      <c r="S115" s="6"/>
      <c r="T115" s="61"/>
      <c r="U115" s="61">
        <f t="shared" si="103"/>
        <v>0</v>
      </c>
      <c r="V115" s="7" t="str">
        <f t="shared" si="88"/>
        <v>NONE</v>
      </c>
      <c r="W115" s="56"/>
      <c r="X115" s="5"/>
      <c r="Y115" s="61">
        <f t="shared" si="89"/>
        <v>0</v>
      </c>
      <c r="Z115" s="61"/>
      <c r="AA115" s="1">
        <f t="shared" si="90"/>
        <v>0</v>
      </c>
      <c r="AB115" s="1">
        <f t="shared" si="91"/>
        <v>130</v>
      </c>
      <c r="AC115" s="1"/>
      <c r="AD115" s="65">
        <f t="shared" si="92"/>
        <v>-130</v>
      </c>
      <c r="AE115" s="1"/>
      <c r="AF115" s="1">
        <f t="shared" si="93"/>
        <v>0</v>
      </c>
      <c r="AG115" s="1">
        <f>IF(AH115&gt;0,AH64:AH115,0)</f>
        <v>0</v>
      </c>
      <c r="AH115" s="1">
        <f t="shared" si="94"/>
        <v>-130</v>
      </c>
      <c r="AJ115">
        <f t="shared" si="95"/>
        <v>0</v>
      </c>
      <c r="AK115">
        <f t="shared" si="96"/>
        <v>0</v>
      </c>
      <c r="AL115">
        <f t="shared" si="97"/>
        <v>0</v>
      </c>
      <c r="AM115">
        <f t="shared" si="98"/>
        <v>0</v>
      </c>
      <c r="AO115">
        <f t="shared" si="99"/>
        <v>0</v>
      </c>
      <c r="AP115">
        <f t="shared" si="100"/>
        <v>0</v>
      </c>
      <c r="AQ115">
        <f t="shared" si="101"/>
        <v>0</v>
      </c>
      <c r="AR115">
        <f t="shared" si="102"/>
        <v>0</v>
      </c>
    </row>
    <row r="116" spans="2:44" x14ac:dyDescent="0.25">
      <c r="B116" t="s">
        <v>361</v>
      </c>
      <c r="C116" t="s">
        <v>362</v>
      </c>
      <c r="E116" t="s">
        <v>30</v>
      </c>
      <c r="F116">
        <f t="shared" si="84"/>
        <v>0</v>
      </c>
      <c r="G116">
        <f t="shared" si="85"/>
        <v>1</v>
      </c>
      <c r="H116" t="s">
        <v>488</v>
      </c>
      <c r="I116">
        <v>11</v>
      </c>
      <c r="K116" t="s">
        <v>363</v>
      </c>
      <c r="L116" t="s">
        <v>55</v>
      </c>
      <c r="M116" s="5">
        <v>0</v>
      </c>
      <c r="N116" s="4" t="s">
        <v>36</v>
      </c>
      <c r="P116" s="86">
        <v>2646</v>
      </c>
      <c r="Q116" s="1">
        <f t="shared" si="86"/>
        <v>1058</v>
      </c>
      <c r="R116">
        <f t="shared" si="87"/>
        <v>2211</v>
      </c>
      <c r="S116" s="6" t="s">
        <v>364</v>
      </c>
      <c r="T116" s="61">
        <v>1</v>
      </c>
      <c r="U116" s="61">
        <f t="shared" si="103"/>
        <v>123</v>
      </c>
      <c r="V116" s="7" t="str">
        <f t="shared" si="88"/>
        <v>PAYPAL</v>
      </c>
      <c r="W116" s="56">
        <v>2</v>
      </c>
      <c r="X116" s="87" t="s">
        <v>25</v>
      </c>
      <c r="Y116" s="61">
        <f t="shared" si="89"/>
        <v>3269</v>
      </c>
      <c r="Z116" s="61"/>
      <c r="AA116" s="1">
        <f t="shared" si="90"/>
        <v>0</v>
      </c>
      <c r="AB116" s="1">
        <f t="shared" si="91"/>
        <v>130</v>
      </c>
      <c r="AC116" s="1"/>
      <c r="AD116" s="65">
        <f t="shared" si="92"/>
        <v>2639</v>
      </c>
      <c r="AE116" s="1"/>
      <c r="AF116" s="1">
        <f t="shared" si="93"/>
        <v>30</v>
      </c>
      <c r="AG116" s="1">
        <f>IF(AH116&gt;0,AH65:AH116,0)</f>
        <v>2609</v>
      </c>
      <c r="AH116" s="1">
        <f t="shared" si="94"/>
        <v>2609</v>
      </c>
      <c r="AJ116">
        <f t="shared" si="95"/>
        <v>2523</v>
      </c>
      <c r="AK116">
        <f t="shared" si="96"/>
        <v>0</v>
      </c>
      <c r="AL116">
        <f t="shared" si="97"/>
        <v>0</v>
      </c>
      <c r="AM116">
        <f t="shared" si="98"/>
        <v>0</v>
      </c>
      <c r="AO116">
        <f t="shared" si="99"/>
        <v>2523</v>
      </c>
      <c r="AP116">
        <f t="shared" si="100"/>
        <v>0</v>
      </c>
      <c r="AQ116">
        <f t="shared" si="101"/>
        <v>0</v>
      </c>
      <c r="AR116">
        <f t="shared" si="102"/>
        <v>0</v>
      </c>
    </row>
    <row r="117" spans="2:44" x14ac:dyDescent="0.25">
      <c r="B117" s="82" t="s">
        <v>82</v>
      </c>
      <c r="C117" s="8" t="s">
        <v>42</v>
      </c>
      <c r="D117" s="8"/>
      <c r="E117" t="s">
        <v>42</v>
      </c>
      <c r="F117">
        <f t="shared" si="84"/>
        <v>9</v>
      </c>
      <c r="G117">
        <f t="shared" si="85"/>
        <v>0</v>
      </c>
      <c r="H117" s="83" t="s">
        <v>383</v>
      </c>
      <c r="I117">
        <v>9</v>
      </c>
      <c r="K117" t="s">
        <v>63</v>
      </c>
      <c r="L117" t="s">
        <v>55</v>
      </c>
      <c r="M117" s="5">
        <v>3</v>
      </c>
      <c r="N117" s="4" t="s">
        <v>36</v>
      </c>
      <c r="P117" s="86">
        <v>0</v>
      </c>
      <c r="Q117" s="1">
        <f t="shared" si="86"/>
        <v>0</v>
      </c>
      <c r="R117">
        <f t="shared" si="87"/>
        <v>0</v>
      </c>
      <c r="S117" s="6"/>
      <c r="T117" s="61"/>
      <c r="U117" s="61">
        <f t="shared" si="103"/>
        <v>0</v>
      </c>
      <c r="V117" s="7" t="str">
        <f t="shared" si="88"/>
        <v>NONE</v>
      </c>
      <c r="W117" s="56"/>
      <c r="X117" s="5"/>
      <c r="Y117" s="61">
        <f t="shared" si="89"/>
        <v>0</v>
      </c>
      <c r="Z117" s="61"/>
      <c r="AA117" s="1">
        <f t="shared" si="90"/>
        <v>0</v>
      </c>
      <c r="AB117" s="1">
        <f t="shared" si="91"/>
        <v>130</v>
      </c>
      <c r="AC117" s="1"/>
      <c r="AD117" s="65">
        <f t="shared" si="92"/>
        <v>-130</v>
      </c>
      <c r="AE117" s="1"/>
      <c r="AF117" s="1">
        <f t="shared" si="93"/>
        <v>0</v>
      </c>
      <c r="AG117" s="1">
        <f>IF(AH117&gt;0,AH69:AH117,0)</f>
        <v>0</v>
      </c>
      <c r="AH117" s="1">
        <f t="shared" si="94"/>
        <v>-130</v>
      </c>
      <c r="AJ117">
        <f t="shared" si="95"/>
        <v>0</v>
      </c>
      <c r="AK117">
        <f t="shared" si="96"/>
        <v>0</v>
      </c>
      <c r="AL117">
        <f t="shared" si="97"/>
        <v>0</v>
      </c>
      <c r="AM117">
        <f t="shared" si="98"/>
        <v>0</v>
      </c>
      <c r="AO117">
        <f t="shared" si="99"/>
        <v>0</v>
      </c>
      <c r="AP117">
        <f t="shared" si="100"/>
        <v>0</v>
      </c>
      <c r="AQ117">
        <f t="shared" si="101"/>
        <v>0</v>
      </c>
      <c r="AR117">
        <f t="shared" si="102"/>
        <v>0</v>
      </c>
    </row>
    <row r="118" spans="2:44" x14ac:dyDescent="0.25">
      <c r="B118" t="s">
        <v>428</v>
      </c>
      <c r="C118" t="s">
        <v>429</v>
      </c>
      <c r="E118" t="s">
        <v>30</v>
      </c>
      <c r="F118">
        <f t="shared" si="84"/>
        <v>0</v>
      </c>
      <c r="G118">
        <f t="shared" si="85"/>
        <v>1</v>
      </c>
      <c r="H118" t="s">
        <v>430</v>
      </c>
      <c r="I118">
        <v>7</v>
      </c>
      <c r="K118" t="s">
        <v>184</v>
      </c>
      <c r="L118" t="s">
        <v>55</v>
      </c>
      <c r="M118" s="5">
        <v>0</v>
      </c>
      <c r="N118" s="4" t="s">
        <v>36</v>
      </c>
      <c r="P118" s="86">
        <v>1759</v>
      </c>
      <c r="Q118" s="1">
        <f t="shared" si="86"/>
        <v>704</v>
      </c>
      <c r="R118">
        <f t="shared" si="87"/>
        <v>1643</v>
      </c>
      <c r="S118" s="6" t="s">
        <v>431</v>
      </c>
      <c r="T118" s="61">
        <v>2</v>
      </c>
      <c r="U118" s="61">
        <f t="shared" si="103"/>
        <v>88</v>
      </c>
      <c r="V118" s="7" t="str">
        <f t="shared" si="88"/>
        <v>PAYPAL</v>
      </c>
      <c r="W118" s="56">
        <v>2</v>
      </c>
      <c r="X118" s="5" t="s">
        <v>558</v>
      </c>
      <c r="Y118" s="61">
        <f t="shared" si="89"/>
        <v>2347</v>
      </c>
      <c r="Z118" s="61"/>
      <c r="AA118" s="1">
        <f t="shared" si="90"/>
        <v>0</v>
      </c>
      <c r="AB118" s="1">
        <f t="shared" si="91"/>
        <v>130</v>
      </c>
      <c r="AC118" s="1"/>
      <c r="AD118" s="65">
        <f t="shared" si="92"/>
        <v>1717</v>
      </c>
      <c r="AE118" s="1"/>
      <c r="AF118" s="1">
        <f t="shared" si="93"/>
        <v>30</v>
      </c>
      <c r="AG118" s="1">
        <f>IF(AH118&gt;0,AH71:AH118,0)</f>
        <v>1687</v>
      </c>
      <c r="AH118" s="1">
        <f>AD118-AF118</f>
        <v>1687</v>
      </c>
      <c r="AJ118">
        <f t="shared" si="95"/>
        <v>0</v>
      </c>
      <c r="AK118">
        <f t="shared" si="96"/>
        <v>1671</v>
      </c>
      <c r="AL118">
        <f t="shared" si="97"/>
        <v>0</v>
      </c>
      <c r="AM118">
        <f t="shared" si="98"/>
        <v>0</v>
      </c>
      <c r="AO118">
        <f t="shared" si="99"/>
        <v>0</v>
      </c>
      <c r="AP118">
        <f t="shared" si="100"/>
        <v>1671</v>
      </c>
      <c r="AQ118">
        <f t="shared" si="101"/>
        <v>0</v>
      </c>
      <c r="AR118">
        <f t="shared" si="102"/>
        <v>0</v>
      </c>
    </row>
    <row r="119" spans="2:44" x14ac:dyDescent="0.25">
      <c r="B119" s="120" t="s">
        <v>415</v>
      </c>
      <c r="C119" t="s">
        <v>414</v>
      </c>
      <c r="E119" t="s">
        <v>370</v>
      </c>
      <c r="F119">
        <f t="shared" si="84"/>
        <v>0</v>
      </c>
      <c r="G119">
        <f t="shared" si="85"/>
        <v>1</v>
      </c>
      <c r="H119" t="s">
        <v>557</v>
      </c>
      <c r="I119">
        <v>6</v>
      </c>
      <c r="K119" t="s">
        <v>413</v>
      </c>
      <c r="L119" t="s">
        <v>55</v>
      </c>
      <c r="M119" s="5">
        <v>0</v>
      </c>
      <c r="N119" s="4" t="s">
        <v>36</v>
      </c>
      <c r="P119" s="86">
        <v>1629</v>
      </c>
      <c r="Q119" s="1">
        <f t="shared" si="86"/>
        <v>652</v>
      </c>
      <c r="R119">
        <f t="shared" si="87"/>
        <v>1560</v>
      </c>
      <c r="S119" s="6" t="s">
        <v>416</v>
      </c>
      <c r="T119" s="61">
        <v>2</v>
      </c>
      <c r="U119" s="61">
        <f t="shared" si="103"/>
        <v>83</v>
      </c>
      <c r="V119" s="7" t="str">
        <f t="shared" si="88"/>
        <v>PAYPAL</v>
      </c>
      <c r="W119" s="56">
        <v>2</v>
      </c>
      <c r="X119" s="5" t="s">
        <v>467</v>
      </c>
      <c r="Y119" s="61">
        <f t="shared" si="89"/>
        <v>2212</v>
      </c>
      <c r="Z119" s="61"/>
      <c r="AA119" s="1">
        <f t="shared" si="90"/>
        <v>0</v>
      </c>
      <c r="AB119" s="1">
        <f t="shared" si="91"/>
        <v>130</v>
      </c>
      <c r="AC119" s="1"/>
      <c r="AD119" s="65">
        <f t="shared" si="92"/>
        <v>1582</v>
      </c>
      <c r="AE119" s="1"/>
      <c r="AF119" s="1">
        <f t="shared" si="93"/>
        <v>30</v>
      </c>
      <c r="AG119" s="1">
        <f>IF(AH119&gt;0,AH70:AH119,0)</f>
        <v>1552</v>
      </c>
      <c r="AH119" s="1">
        <f t="shared" si="94"/>
        <v>1552</v>
      </c>
      <c r="AJ119">
        <f t="shared" si="95"/>
        <v>0</v>
      </c>
      <c r="AK119">
        <f t="shared" si="96"/>
        <v>1546</v>
      </c>
      <c r="AL119">
        <f t="shared" si="97"/>
        <v>0</v>
      </c>
      <c r="AM119">
        <f t="shared" si="98"/>
        <v>0</v>
      </c>
      <c r="AO119">
        <f t="shared" si="99"/>
        <v>0</v>
      </c>
      <c r="AP119">
        <f t="shared" si="100"/>
        <v>1546</v>
      </c>
      <c r="AQ119">
        <f t="shared" si="101"/>
        <v>0</v>
      </c>
      <c r="AR119">
        <f t="shared" si="102"/>
        <v>0</v>
      </c>
    </row>
    <row r="120" spans="2:44" x14ac:dyDescent="0.25">
      <c r="B120" s="85" t="s">
        <v>303</v>
      </c>
      <c r="C120" t="s">
        <v>304</v>
      </c>
      <c r="E120" t="s">
        <v>30</v>
      </c>
      <c r="F120">
        <f t="shared" si="84"/>
        <v>0</v>
      </c>
      <c r="G120">
        <f t="shared" si="85"/>
        <v>1</v>
      </c>
      <c r="H120" s="83" t="s">
        <v>305</v>
      </c>
      <c r="I120">
        <v>16</v>
      </c>
      <c r="K120" t="s">
        <v>108</v>
      </c>
      <c r="L120" t="s">
        <v>55</v>
      </c>
      <c r="M120" s="5">
        <v>0</v>
      </c>
      <c r="N120" s="4" t="s">
        <v>36</v>
      </c>
      <c r="P120" s="86">
        <v>3274</v>
      </c>
      <c r="Q120" s="1">
        <f t="shared" si="86"/>
        <v>1310</v>
      </c>
      <c r="R120">
        <f t="shared" si="87"/>
        <v>2511</v>
      </c>
      <c r="S120" s="6" t="s">
        <v>306</v>
      </c>
      <c r="T120" s="61">
        <v>2</v>
      </c>
      <c r="U120" s="61">
        <f t="shared" si="103"/>
        <v>47</v>
      </c>
      <c r="V120" s="7" t="str">
        <f t="shared" si="88"/>
        <v>BANK</v>
      </c>
      <c r="W120" s="56">
        <v>1</v>
      </c>
      <c r="X120" s="87" t="s">
        <v>25</v>
      </c>
      <c r="Y120" s="61">
        <f t="shared" si="89"/>
        <v>3821</v>
      </c>
      <c r="Z120" s="61"/>
      <c r="AA120" s="1">
        <f t="shared" si="90"/>
        <v>0</v>
      </c>
      <c r="AB120" s="1">
        <f t="shared" si="91"/>
        <v>130</v>
      </c>
      <c r="AC120" s="1"/>
      <c r="AD120" s="65">
        <f t="shared" si="92"/>
        <v>3191</v>
      </c>
      <c r="AE120" s="1"/>
      <c r="AF120" s="1">
        <f t="shared" si="93"/>
        <v>30</v>
      </c>
      <c r="AG120" s="1">
        <f>IF(AH120&gt;0,AH71:AH120,0)</f>
        <v>3161</v>
      </c>
      <c r="AH120" s="1">
        <f t="shared" si="94"/>
        <v>3161</v>
      </c>
      <c r="AJ120">
        <f t="shared" si="95"/>
        <v>0</v>
      </c>
      <c r="AK120">
        <f t="shared" si="96"/>
        <v>3227</v>
      </c>
      <c r="AL120">
        <f t="shared" si="97"/>
        <v>0</v>
      </c>
      <c r="AM120">
        <f t="shared" si="98"/>
        <v>0</v>
      </c>
      <c r="AO120">
        <f t="shared" si="99"/>
        <v>0</v>
      </c>
      <c r="AP120">
        <f t="shared" si="100"/>
        <v>3227</v>
      </c>
      <c r="AQ120">
        <f t="shared" si="101"/>
        <v>0</v>
      </c>
      <c r="AR120">
        <f t="shared" si="102"/>
        <v>0</v>
      </c>
    </row>
    <row r="121" spans="2:44" x14ac:dyDescent="0.25">
      <c r="B121" s="82" t="s">
        <v>82</v>
      </c>
      <c r="C121" s="8" t="s">
        <v>42</v>
      </c>
      <c r="D121" s="8"/>
      <c r="E121" t="s">
        <v>42</v>
      </c>
      <c r="F121">
        <f t="shared" si="84"/>
        <v>3</v>
      </c>
      <c r="G121">
        <f t="shared" si="85"/>
        <v>0</v>
      </c>
      <c r="H121" s="83" t="s">
        <v>439</v>
      </c>
      <c r="I121">
        <v>3</v>
      </c>
      <c r="K121" t="s">
        <v>63</v>
      </c>
      <c r="L121" t="s">
        <v>55</v>
      </c>
      <c r="M121" s="5">
        <v>3</v>
      </c>
      <c r="N121" s="4" t="s">
        <v>36</v>
      </c>
      <c r="P121" s="86">
        <v>0</v>
      </c>
      <c r="Q121" s="1">
        <f t="shared" si="86"/>
        <v>0</v>
      </c>
      <c r="R121">
        <f t="shared" si="87"/>
        <v>0</v>
      </c>
      <c r="S121" s="6"/>
      <c r="T121" s="61"/>
      <c r="U121" s="61">
        <f t="shared" si="103"/>
        <v>0</v>
      </c>
      <c r="V121" s="7" t="str">
        <f t="shared" si="88"/>
        <v>NONE</v>
      </c>
      <c r="W121" s="56"/>
      <c r="X121" s="5"/>
      <c r="Y121" s="61">
        <f t="shared" si="89"/>
        <v>0</v>
      </c>
      <c r="Z121" s="61"/>
      <c r="AA121" s="1">
        <f t="shared" si="90"/>
        <v>0</v>
      </c>
      <c r="AB121" s="1">
        <f t="shared" si="91"/>
        <v>130</v>
      </c>
      <c r="AC121" s="1"/>
      <c r="AD121" s="65">
        <f t="shared" si="92"/>
        <v>-130</v>
      </c>
      <c r="AE121" s="1"/>
      <c r="AF121" s="1">
        <f t="shared" si="93"/>
        <v>0</v>
      </c>
      <c r="AG121" s="1">
        <f>IF(AH121&gt;0,AH70:AH121,0)</f>
        <v>0</v>
      </c>
      <c r="AH121" s="1">
        <f t="shared" si="94"/>
        <v>-130</v>
      </c>
      <c r="AJ121">
        <f t="shared" si="95"/>
        <v>0</v>
      </c>
      <c r="AK121">
        <f t="shared" si="96"/>
        <v>0</v>
      </c>
      <c r="AL121">
        <f t="shared" si="97"/>
        <v>0</v>
      </c>
      <c r="AM121">
        <f t="shared" si="98"/>
        <v>0</v>
      </c>
      <c r="AO121">
        <f t="shared" si="99"/>
        <v>0</v>
      </c>
      <c r="AP121">
        <f t="shared" si="100"/>
        <v>0</v>
      </c>
      <c r="AQ121">
        <f t="shared" si="101"/>
        <v>0</v>
      </c>
      <c r="AR121">
        <f t="shared" si="102"/>
        <v>0</v>
      </c>
    </row>
    <row r="122" spans="2:44" x14ac:dyDescent="0.25">
      <c r="B122" s="120" t="s">
        <v>425</v>
      </c>
      <c r="C122" t="s">
        <v>426</v>
      </c>
      <c r="E122" t="s">
        <v>370</v>
      </c>
      <c r="F122">
        <f t="shared" si="84"/>
        <v>0</v>
      </c>
      <c r="G122">
        <f t="shared" si="85"/>
        <v>1</v>
      </c>
      <c r="H122" t="s">
        <v>427</v>
      </c>
      <c r="I122">
        <v>14</v>
      </c>
      <c r="K122" t="s">
        <v>98</v>
      </c>
      <c r="L122" t="s">
        <v>55</v>
      </c>
      <c r="M122" s="5">
        <v>0</v>
      </c>
      <c r="N122" s="4" t="s">
        <v>36</v>
      </c>
      <c r="P122" s="86">
        <v>2805</v>
      </c>
      <c r="Q122" s="1">
        <f t="shared" si="86"/>
        <v>1122</v>
      </c>
      <c r="R122">
        <f t="shared" si="87"/>
        <v>2312</v>
      </c>
      <c r="S122" s="6" t="s">
        <v>473</v>
      </c>
      <c r="T122" s="61">
        <v>2</v>
      </c>
      <c r="U122" s="61">
        <f t="shared" si="103"/>
        <v>129</v>
      </c>
      <c r="V122" s="7" t="str">
        <f t="shared" si="88"/>
        <v>PAYPAL</v>
      </c>
      <c r="W122" s="56">
        <v>2</v>
      </c>
      <c r="X122" s="5" t="s">
        <v>559</v>
      </c>
      <c r="Y122" s="61">
        <f t="shared" si="89"/>
        <v>3434</v>
      </c>
      <c r="Z122" s="61"/>
      <c r="AA122" s="1">
        <f t="shared" si="90"/>
        <v>0</v>
      </c>
      <c r="AB122" s="1">
        <f t="shared" si="91"/>
        <v>130</v>
      </c>
      <c r="AC122" s="1"/>
      <c r="AD122" s="65">
        <f t="shared" si="92"/>
        <v>2804</v>
      </c>
      <c r="AE122" s="1"/>
      <c r="AF122" s="1">
        <f t="shared" si="93"/>
        <v>30</v>
      </c>
      <c r="AG122" s="1">
        <f>IF(AH122&gt;0,AH72:AH122,0)</f>
        <v>2774</v>
      </c>
      <c r="AH122" s="1">
        <f t="shared" si="94"/>
        <v>2774</v>
      </c>
      <c r="AJ122">
        <f t="shared" si="95"/>
        <v>0</v>
      </c>
      <c r="AK122">
        <f t="shared" si="96"/>
        <v>2676</v>
      </c>
      <c r="AL122">
        <f t="shared" si="97"/>
        <v>0</v>
      </c>
      <c r="AM122">
        <f t="shared" si="98"/>
        <v>0</v>
      </c>
      <c r="AO122">
        <f t="shared" si="99"/>
        <v>0</v>
      </c>
      <c r="AP122">
        <f t="shared" si="100"/>
        <v>2676</v>
      </c>
      <c r="AQ122">
        <f t="shared" si="101"/>
        <v>0</v>
      </c>
      <c r="AR122">
        <f t="shared" si="102"/>
        <v>0</v>
      </c>
    </row>
    <row r="123" spans="2:44" ht="15.75" x14ac:dyDescent="0.25">
      <c r="B123" s="139" t="s">
        <v>468</v>
      </c>
      <c r="C123" t="s">
        <v>469</v>
      </c>
      <c r="E123" t="s">
        <v>61</v>
      </c>
      <c r="F123">
        <f t="shared" si="84"/>
        <v>0</v>
      </c>
      <c r="G123">
        <f t="shared" si="85"/>
        <v>1</v>
      </c>
      <c r="H123" t="s">
        <v>470</v>
      </c>
      <c r="I123">
        <v>14</v>
      </c>
      <c r="K123" t="s">
        <v>184</v>
      </c>
      <c r="L123" t="s">
        <v>55</v>
      </c>
      <c r="M123" s="5">
        <v>0</v>
      </c>
      <c r="N123" s="4" t="s">
        <v>36</v>
      </c>
      <c r="P123" s="86">
        <v>2268</v>
      </c>
      <c r="Q123" s="1">
        <f t="shared" si="86"/>
        <v>907</v>
      </c>
      <c r="R123">
        <f t="shared" si="87"/>
        <v>1969</v>
      </c>
      <c r="S123" s="6" t="s">
        <v>471</v>
      </c>
      <c r="T123" s="61">
        <v>2</v>
      </c>
      <c r="U123" s="61">
        <f t="shared" si="103"/>
        <v>108</v>
      </c>
      <c r="V123" s="7" t="str">
        <f t="shared" si="88"/>
        <v>PAYPAL</v>
      </c>
      <c r="W123" s="56">
        <v>2</v>
      </c>
      <c r="X123" s="5" t="s">
        <v>25</v>
      </c>
      <c r="Y123" s="61">
        <f t="shared" si="89"/>
        <v>2876</v>
      </c>
      <c r="Z123" s="61"/>
      <c r="AA123" s="1">
        <f t="shared" si="90"/>
        <v>0</v>
      </c>
      <c r="AB123" s="1">
        <f t="shared" si="91"/>
        <v>130</v>
      </c>
      <c r="AC123" s="1"/>
      <c r="AD123" s="65">
        <f t="shared" si="92"/>
        <v>2246</v>
      </c>
      <c r="AE123" s="1"/>
      <c r="AF123" s="1">
        <f t="shared" si="93"/>
        <v>30</v>
      </c>
      <c r="AG123" s="1">
        <f>IF(AH123&gt;0,AH71:AH123,0)</f>
        <v>2216</v>
      </c>
      <c r="AH123" s="1">
        <f>AD123-AF123</f>
        <v>2216</v>
      </c>
      <c r="AJ123">
        <f>IF(T123=1,P123-U123,0)</f>
        <v>0</v>
      </c>
      <c r="AK123">
        <f>IF(T123=2,P123-U123,0)</f>
        <v>2160</v>
      </c>
      <c r="AL123">
        <f>IF(T123=3,P123-U123,0)</f>
        <v>0</v>
      </c>
      <c r="AM123">
        <f>IF(T123=4,P123-U123,0)</f>
        <v>0</v>
      </c>
      <c r="AO123">
        <f>IF(T123=1,P123-U123,0)</f>
        <v>0</v>
      </c>
      <c r="AP123">
        <f>IF(T123=2,P123-U123,0)</f>
        <v>2160</v>
      </c>
      <c r="AQ123">
        <f>IF(T123=3,P123-U123,0)</f>
        <v>0</v>
      </c>
      <c r="AR123">
        <f>IF(T123=4,P123-U123,0)</f>
        <v>0</v>
      </c>
    </row>
    <row r="124" spans="2:44" x14ac:dyDescent="0.25">
      <c r="B124" t="s">
        <v>449</v>
      </c>
      <c r="C124" t="s">
        <v>450</v>
      </c>
      <c r="E124" t="s">
        <v>30</v>
      </c>
      <c r="F124">
        <f t="shared" si="84"/>
        <v>0</v>
      </c>
      <c r="G124">
        <f t="shared" si="85"/>
        <v>1</v>
      </c>
      <c r="H124" t="s">
        <v>451</v>
      </c>
      <c r="I124">
        <v>10</v>
      </c>
      <c r="K124" t="s">
        <v>452</v>
      </c>
      <c r="L124" t="s">
        <v>55</v>
      </c>
      <c r="M124" s="5">
        <v>0</v>
      </c>
      <c r="N124" s="4" t="s">
        <v>36</v>
      </c>
      <c r="P124" s="86">
        <v>1816</v>
      </c>
      <c r="Q124" s="1">
        <f t="shared" si="86"/>
        <v>726</v>
      </c>
      <c r="R124">
        <f t="shared" si="87"/>
        <v>1680</v>
      </c>
      <c r="S124" s="6" t="s">
        <v>453</v>
      </c>
      <c r="T124" s="61">
        <v>3</v>
      </c>
      <c r="U124" s="61">
        <f t="shared" si="103"/>
        <v>90</v>
      </c>
      <c r="V124" s="7" t="str">
        <f t="shared" si="88"/>
        <v>PAYPAL</v>
      </c>
      <c r="W124" s="56">
        <v>2</v>
      </c>
      <c r="X124" s="87" t="s">
        <v>25</v>
      </c>
      <c r="Y124" s="61">
        <f t="shared" si="89"/>
        <v>2406</v>
      </c>
      <c r="Z124" s="61"/>
      <c r="AA124" s="1">
        <f t="shared" si="90"/>
        <v>0</v>
      </c>
      <c r="AB124" s="1">
        <f t="shared" si="91"/>
        <v>130</v>
      </c>
      <c r="AC124" s="1"/>
      <c r="AD124" s="65">
        <f t="shared" si="92"/>
        <v>1776</v>
      </c>
      <c r="AE124" s="1"/>
      <c r="AF124" s="1">
        <f t="shared" si="93"/>
        <v>30</v>
      </c>
      <c r="AG124" s="1">
        <f>IF(AH124&gt;0,AH73:AH124,0)</f>
        <v>1746</v>
      </c>
      <c r="AH124" s="1">
        <f>AD124-AF124</f>
        <v>1746</v>
      </c>
      <c r="AJ124">
        <f>IF(T124=1,P124-U124,0)</f>
        <v>0</v>
      </c>
      <c r="AK124">
        <f>IF(T124=2,P124-U124,0)</f>
        <v>0</v>
      </c>
      <c r="AL124">
        <f>IF(T124=3,P124-U124,0)</f>
        <v>1726</v>
      </c>
      <c r="AM124">
        <f>IF(T124=4,P124-U124,0)</f>
        <v>0</v>
      </c>
      <c r="AO124">
        <f>IF(T124=1,P124-U124,0)</f>
        <v>0</v>
      </c>
      <c r="AP124">
        <f>IF(T124=2,P124-U124,0)</f>
        <v>0</v>
      </c>
      <c r="AQ124">
        <f>IF(T124=3,P124-U124,0)</f>
        <v>1726</v>
      </c>
      <c r="AR124">
        <f>IF(T124=4,P124-U124,0)</f>
        <v>0</v>
      </c>
    </row>
    <row r="125" spans="2:44" x14ac:dyDescent="0.25">
      <c r="B125" s="8" t="s">
        <v>553</v>
      </c>
      <c r="C125" t="s">
        <v>454</v>
      </c>
      <c r="E125" t="s">
        <v>30</v>
      </c>
      <c r="F125">
        <f t="shared" si="84"/>
        <v>0</v>
      </c>
      <c r="G125">
        <f t="shared" si="85"/>
        <v>1</v>
      </c>
      <c r="H125" s="151" t="s">
        <v>455</v>
      </c>
      <c r="I125">
        <v>14</v>
      </c>
      <c r="K125" t="s">
        <v>74</v>
      </c>
      <c r="L125" t="s">
        <v>55</v>
      </c>
      <c r="M125" s="5">
        <v>0</v>
      </c>
      <c r="N125" s="4" t="s">
        <v>36</v>
      </c>
      <c r="P125" s="86">
        <v>2219</v>
      </c>
      <c r="Q125" s="1">
        <f t="shared" si="86"/>
        <v>888</v>
      </c>
      <c r="R125">
        <f t="shared" si="87"/>
        <v>1937</v>
      </c>
      <c r="S125" s="6" t="s">
        <v>456</v>
      </c>
      <c r="T125" s="61">
        <v>3</v>
      </c>
      <c r="U125" s="61">
        <f t="shared" si="103"/>
        <v>106</v>
      </c>
      <c r="V125" s="7" t="str">
        <f t="shared" si="88"/>
        <v>PAYPAL</v>
      </c>
      <c r="W125" s="56">
        <v>2</v>
      </c>
      <c r="X125" s="5" t="s">
        <v>552</v>
      </c>
      <c r="Y125" s="61">
        <f t="shared" si="89"/>
        <v>2825</v>
      </c>
      <c r="Z125" s="61"/>
      <c r="AA125" s="1">
        <f t="shared" si="90"/>
        <v>0</v>
      </c>
      <c r="AB125" s="1">
        <f t="shared" si="91"/>
        <v>130</v>
      </c>
      <c r="AC125" s="1"/>
      <c r="AD125" s="65">
        <f t="shared" si="92"/>
        <v>2195</v>
      </c>
      <c r="AE125" s="1"/>
      <c r="AF125" s="1">
        <f t="shared" si="93"/>
        <v>30</v>
      </c>
      <c r="AG125" s="1">
        <f>IF(AH125&gt;0,AH73:AH125,0)</f>
        <v>2165</v>
      </c>
      <c r="AH125" s="1">
        <f>AD125-AF125</f>
        <v>2165</v>
      </c>
      <c r="AJ125">
        <f>IF(T125=1,P125-U125,0)</f>
        <v>0</v>
      </c>
      <c r="AK125">
        <f>IF(T125=2,P125-U125,0)</f>
        <v>0</v>
      </c>
      <c r="AL125">
        <f>IF(T125=3,P125-U125,0)</f>
        <v>2113</v>
      </c>
      <c r="AM125">
        <f>IF(T125=4,P125-U125,0)</f>
        <v>0</v>
      </c>
      <c r="AO125">
        <f>IF(T125=1,P125-U125,0)</f>
        <v>0</v>
      </c>
      <c r="AP125">
        <f>IF(T125=2,P125-U125,0)</f>
        <v>0</v>
      </c>
      <c r="AQ125">
        <f>IF(T125=3,P125-U125,0)</f>
        <v>2113</v>
      </c>
      <c r="AR125">
        <f>IF(T125=4,P125-U125,0)</f>
        <v>0</v>
      </c>
    </row>
    <row r="126" spans="2:44" x14ac:dyDescent="0.25">
      <c r="B126" s="88" t="s">
        <v>82</v>
      </c>
      <c r="C126" s="8" t="s">
        <v>42</v>
      </c>
      <c r="D126" s="8"/>
      <c r="E126" t="s">
        <v>42</v>
      </c>
      <c r="F126">
        <f t="shared" si="84"/>
        <v>22</v>
      </c>
      <c r="G126">
        <f t="shared" si="85"/>
        <v>0</v>
      </c>
      <c r="H126" s="83" t="s">
        <v>520</v>
      </c>
      <c r="I126">
        <v>22</v>
      </c>
      <c r="K126" t="s">
        <v>63</v>
      </c>
      <c r="L126" t="s">
        <v>55</v>
      </c>
      <c r="M126" s="5">
        <v>3</v>
      </c>
      <c r="N126" s="4" t="s">
        <v>36</v>
      </c>
      <c r="P126" s="86">
        <v>0</v>
      </c>
      <c r="Q126" s="1">
        <f t="shared" si="86"/>
        <v>0</v>
      </c>
      <c r="R126">
        <f t="shared" si="87"/>
        <v>0</v>
      </c>
      <c r="S126" s="6"/>
      <c r="T126" s="61"/>
      <c r="U126" s="61">
        <f t="shared" si="103"/>
        <v>0</v>
      </c>
      <c r="V126" s="7" t="str">
        <f t="shared" si="88"/>
        <v>NONE</v>
      </c>
      <c r="W126" s="56"/>
      <c r="X126" s="5"/>
      <c r="Y126" s="61">
        <f t="shared" si="89"/>
        <v>0</v>
      </c>
      <c r="Z126" s="61"/>
      <c r="AA126" s="1">
        <f t="shared" si="90"/>
        <v>0</v>
      </c>
      <c r="AB126" s="1">
        <f t="shared" si="91"/>
        <v>130</v>
      </c>
      <c r="AC126" s="1"/>
      <c r="AD126" s="65">
        <f t="shared" si="92"/>
        <v>-130</v>
      </c>
      <c r="AE126" s="1"/>
      <c r="AF126" s="1">
        <f t="shared" si="93"/>
        <v>0</v>
      </c>
      <c r="AG126" s="1">
        <f>IF(AH126&gt;0,AH73:AH126,0)</f>
        <v>0</v>
      </c>
      <c r="AH126" s="1">
        <f t="shared" si="94"/>
        <v>-130</v>
      </c>
      <c r="AJ126">
        <f t="shared" si="95"/>
        <v>0</v>
      </c>
      <c r="AK126">
        <f t="shared" si="96"/>
        <v>0</v>
      </c>
      <c r="AL126">
        <f t="shared" si="97"/>
        <v>0</v>
      </c>
      <c r="AM126">
        <f t="shared" si="98"/>
        <v>0</v>
      </c>
      <c r="AO126">
        <f t="shared" si="99"/>
        <v>0</v>
      </c>
      <c r="AP126">
        <f t="shared" si="100"/>
        <v>0</v>
      </c>
      <c r="AQ126">
        <f t="shared" si="101"/>
        <v>0</v>
      </c>
      <c r="AR126">
        <f t="shared" si="102"/>
        <v>0</v>
      </c>
    </row>
    <row r="127" spans="2:44" ht="15.75" x14ac:dyDescent="0.25">
      <c r="B127" s="142" t="s">
        <v>500</v>
      </c>
      <c r="C127" t="s">
        <v>501</v>
      </c>
      <c r="E127" t="s">
        <v>502</v>
      </c>
      <c r="F127">
        <f t="shared" si="84"/>
        <v>0</v>
      </c>
      <c r="G127">
        <f t="shared" si="85"/>
        <v>1</v>
      </c>
      <c r="H127" t="s">
        <v>503</v>
      </c>
      <c r="I127">
        <v>7</v>
      </c>
      <c r="K127" t="s">
        <v>504</v>
      </c>
      <c r="L127" t="s">
        <v>55</v>
      </c>
      <c r="M127" s="5">
        <v>0</v>
      </c>
      <c r="N127" s="4" t="s">
        <v>36</v>
      </c>
      <c r="P127" s="86">
        <v>1474</v>
      </c>
      <c r="Q127" s="1">
        <f t="shared" si="86"/>
        <v>590</v>
      </c>
      <c r="R127">
        <f t="shared" si="87"/>
        <v>1461</v>
      </c>
      <c r="S127" s="6" t="s">
        <v>505</v>
      </c>
      <c r="T127" s="61">
        <v>3</v>
      </c>
      <c r="U127" s="61">
        <f t="shared" si="103"/>
        <v>77</v>
      </c>
      <c r="V127" s="7" t="str">
        <f t="shared" si="88"/>
        <v>PAYPAL</v>
      </c>
      <c r="W127" s="56">
        <v>2</v>
      </c>
      <c r="X127" s="5" t="s">
        <v>583</v>
      </c>
      <c r="Y127" s="61">
        <f t="shared" si="89"/>
        <v>2051</v>
      </c>
      <c r="Z127" s="61"/>
      <c r="AA127" s="1">
        <f t="shared" si="90"/>
        <v>0</v>
      </c>
      <c r="AB127" s="1">
        <f t="shared" si="91"/>
        <v>130</v>
      </c>
      <c r="AC127" s="1"/>
      <c r="AD127" s="65">
        <f t="shared" si="92"/>
        <v>1421</v>
      </c>
      <c r="AE127" s="1"/>
      <c r="AF127" s="1">
        <f t="shared" si="93"/>
        <v>30</v>
      </c>
      <c r="AG127" s="1">
        <f>IF(AH127&gt;0,AH63:AH127,0)</f>
        <v>1391</v>
      </c>
      <c r="AH127" s="1">
        <f>AD127-AF127</f>
        <v>1391</v>
      </c>
      <c r="AJ127">
        <f>IF(T127=1,P127-U127,0)</f>
        <v>0</v>
      </c>
      <c r="AK127">
        <f>IF(T127=2,P127-U127,0)</f>
        <v>0</v>
      </c>
      <c r="AL127">
        <f>IF(T127=3,P127-U127,0)</f>
        <v>1397</v>
      </c>
      <c r="AM127">
        <f>IF(T127=4,P127-U127,0)</f>
        <v>0</v>
      </c>
      <c r="AO127">
        <f>IF(T127=1,P127-U127,0)</f>
        <v>0</v>
      </c>
      <c r="AP127">
        <f>IF(T127=2,P127-U127,0)</f>
        <v>0</v>
      </c>
      <c r="AQ127">
        <f>IF(T127=3,P127-U127,0)</f>
        <v>1397</v>
      </c>
      <c r="AR127">
        <f>IF(T127=4,P127-U127,0)</f>
        <v>0</v>
      </c>
    </row>
    <row r="128" spans="2:44" ht="17.25" customHeight="1" x14ac:dyDescent="0.25">
      <c r="B128" s="142" t="s">
        <v>489</v>
      </c>
      <c r="C128" t="s">
        <v>584</v>
      </c>
      <c r="E128" t="s">
        <v>370</v>
      </c>
      <c r="F128">
        <f t="shared" si="84"/>
        <v>0</v>
      </c>
      <c r="G128">
        <f t="shared" si="85"/>
        <v>1</v>
      </c>
      <c r="H128" s="143" t="s">
        <v>491</v>
      </c>
      <c r="I128">
        <v>7</v>
      </c>
      <c r="K128" s="121" t="s">
        <v>363</v>
      </c>
      <c r="L128" t="s">
        <v>55</v>
      </c>
      <c r="M128" s="5">
        <v>0</v>
      </c>
      <c r="N128" s="4" t="s">
        <v>36</v>
      </c>
      <c r="P128" s="86">
        <v>1753</v>
      </c>
      <c r="Q128" s="1">
        <f t="shared" si="86"/>
        <v>701</v>
      </c>
      <c r="R128">
        <f t="shared" si="87"/>
        <v>1640</v>
      </c>
      <c r="S128" s="6" t="s">
        <v>490</v>
      </c>
      <c r="T128" s="61">
        <v>3</v>
      </c>
      <c r="U128" s="61">
        <f t="shared" si="103"/>
        <v>88</v>
      </c>
      <c r="V128" s="7" t="str">
        <f t="shared" si="88"/>
        <v>PAYPAL</v>
      </c>
      <c r="W128" s="56">
        <v>2</v>
      </c>
      <c r="X128" s="5" t="s">
        <v>590</v>
      </c>
      <c r="Y128" s="61">
        <f t="shared" si="89"/>
        <v>2341</v>
      </c>
      <c r="Z128" s="61"/>
      <c r="AA128" s="1">
        <f t="shared" si="90"/>
        <v>0</v>
      </c>
      <c r="AB128" s="1">
        <f t="shared" si="91"/>
        <v>130</v>
      </c>
      <c r="AC128" s="1"/>
      <c r="AD128" s="65">
        <f t="shared" si="92"/>
        <v>1711</v>
      </c>
      <c r="AE128" s="1"/>
      <c r="AF128" s="1">
        <f t="shared" si="93"/>
        <v>30</v>
      </c>
      <c r="AG128" s="1">
        <f>IF(AH128&gt;0,AH75:AH128,0)</f>
        <v>1681</v>
      </c>
      <c r="AH128" s="1">
        <f>AD128-AF128</f>
        <v>1681</v>
      </c>
      <c r="AJ128">
        <f>IF(T128=1,P128-U128,0)</f>
        <v>0</v>
      </c>
      <c r="AK128">
        <f>IF(T128=2,P128-U128,0)</f>
        <v>0</v>
      </c>
      <c r="AL128">
        <f>IF(T128=3,P128-U128,0)</f>
        <v>1665</v>
      </c>
      <c r="AM128">
        <f>IF(T128=4,P128-U128,0)</f>
        <v>0</v>
      </c>
      <c r="AO128">
        <f>IF(T128=1,P128-U128,0)</f>
        <v>0</v>
      </c>
      <c r="AP128">
        <f>IF(T128=2,P128-U128,0)</f>
        <v>0</v>
      </c>
      <c r="AQ128">
        <f>IF(T128=3,P128-U128,0)</f>
        <v>1665</v>
      </c>
      <c r="AR128">
        <f>IF(T128=4,P128-U128,0)</f>
        <v>0</v>
      </c>
    </row>
    <row r="129" spans="1:45" x14ac:dyDescent="0.25">
      <c r="B129" t="s">
        <v>462</v>
      </c>
      <c r="C129" t="s">
        <v>465</v>
      </c>
      <c r="E129" t="s">
        <v>30</v>
      </c>
      <c r="F129">
        <f t="shared" si="84"/>
        <v>0</v>
      </c>
      <c r="G129">
        <f t="shared" si="85"/>
        <v>1</v>
      </c>
      <c r="H129" t="s">
        <v>463</v>
      </c>
      <c r="I129">
        <v>28</v>
      </c>
      <c r="K129" s="121" t="s">
        <v>434</v>
      </c>
      <c r="L129" t="s">
        <v>55</v>
      </c>
      <c r="M129" s="5">
        <v>0</v>
      </c>
      <c r="N129" s="4" t="s">
        <v>581</v>
      </c>
      <c r="P129" s="86">
        <v>4534</v>
      </c>
      <c r="Q129" s="1">
        <f t="shared" si="86"/>
        <v>1814</v>
      </c>
      <c r="R129">
        <f t="shared" si="87"/>
        <v>3416</v>
      </c>
      <c r="S129" s="6" t="s">
        <v>464</v>
      </c>
      <c r="T129" s="61">
        <v>3</v>
      </c>
      <c r="U129" s="61">
        <f t="shared" si="103"/>
        <v>196</v>
      </c>
      <c r="V129" s="7" t="str">
        <f t="shared" si="88"/>
        <v>PAYPAL</v>
      </c>
      <c r="W129" s="56">
        <v>2</v>
      </c>
      <c r="X129" s="5" t="s">
        <v>559</v>
      </c>
      <c r="Y129" s="61">
        <f t="shared" si="89"/>
        <v>5230</v>
      </c>
      <c r="Z129" s="61"/>
      <c r="AA129" s="1">
        <f t="shared" si="90"/>
        <v>0</v>
      </c>
      <c r="AB129" s="1">
        <f t="shared" si="91"/>
        <v>130</v>
      </c>
      <c r="AC129" s="1"/>
      <c r="AD129" s="65">
        <f t="shared" si="92"/>
        <v>4600</v>
      </c>
      <c r="AE129" s="1"/>
      <c r="AF129" s="1">
        <f t="shared" si="93"/>
        <v>30</v>
      </c>
      <c r="AG129" s="1">
        <f>IF(AH129&gt;0,AH76:AH129,0)</f>
        <v>4570</v>
      </c>
      <c r="AH129" s="1">
        <f>AD129-AF129</f>
        <v>4570</v>
      </c>
      <c r="AJ129">
        <f>IF(T129=1,P129-U129,0)</f>
        <v>0</v>
      </c>
      <c r="AK129">
        <f>IF(T129=2,P129-U129,0)</f>
        <v>0</v>
      </c>
      <c r="AL129">
        <f>IF(T129=3,P129-U129,0)</f>
        <v>4338</v>
      </c>
      <c r="AM129">
        <f>IF(T129=4,P129-U129,0)</f>
        <v>0</v>
      </c>
      <c r="AO129">
        <f>IF(T129=1,P129-U129,0)</f>
        <v>0</v>
      </c>
      <c r="AP129">
        <f>IF(T129=2,P129-U129,0)</f>
        <v>0</v>
      </c>
      <c r="AQ129">
        <f>IF(T129=3,P129-U129,0)</f>
        <v>4338</v>
      </c>
      <c r="AR129">
        <f>IF(T129=4,P129-U129,0)</f>
        <v>0</v>
      </c>
    </row>
    <row r="130" spans="1:45" x14ac:dyDescent="0.25">
      <c r="B130" s="82" t="s">
        <v>82</v>
      </c>
      <c r="C130" s="8" t="s">
        <v>42</v>
      </c>
      <c r="D130" s="8"/>
      <c r="E130" t="s">
        <v>42</v>
      </c>
      <c r="F130">
        <f t="shared" si="84"/>
        <v>2</v>
      </c>
      <c r="G130">
        <f t="shared" si="85"/>
        <v>0</v>
      </c>
      <c r="H130" s="83" t="s">
        <v>574</v>
      </c>
      <c r="I130">
        <v>2</v>
      </c>
      <c r="K130" s="121" t="s">
        <v>434</v>
      </c>
      <c r="L130" t="s">
        <v>55</v>
      </c>
      <c r="M130" s="5">
        <v>0</v>
      </c>
      <c r="N130" s="4" t="s">
        <v>36</v>
      </c>
      <c r="P130" s="86">
        <v>0</v>
      </c>
      <c r="Q130" s="1">
        <f t="shared" si="86"/>
        <v>0</v>
      </c>
      <c r="R130">
        <f t="shared" si="87"/>
        <v>0</v>
      </c>
      <c r="S130" s="6"/>
      <c r="T130" s="61"/>
      <c r="U130" s="61">
        <f t="shared" si="103"/>
        <v>0</v>
      </c>
      <c r="V130" s="7" t="str">
        <f t="shared" si="88"/>
        <v>NONE</v>
      </c>
      <c r="W130" s="56"/>
      <c r="X130" s="5"/>
      <c r="Y130" s="61">
        <f t="shared" si="89"/>
        <v>0</v>
      </c>
      <c r="Z130" s="61"/>
      <c r="AA130" s="1">
        <f t="shared" si="90"/>
        <v>0</v>
      </c>
      <c r="AB130" s="1">
        <f t="shared" si="91"/>
        <v>130</v>
      </c>
      <c r="AC130" s="1"/>
      <c r="AD130" s="65">
        <f t="shared" si="92"/>
        <v>-130</v>
      </c>
      <c r="AE130" s="1"/>
      <c r="AF130" s="1">
        <f t="shared" si="93"/>
        <v>0</v>
      </c>
      <c r="AG130" s="1">
        <f>IF(AH130&gt;0,AH30:AH130,0)</f>
        <v>0</v>
      </c>
      <c r="AH130" s="1">
        <f>AD130-AF130</f>
        <v>-130</v>
      </c>
      <c r="AJ130">
        <f>IF(T130=1,P130-U130,0)</f>
        <v>0</v>
      </c>
      <c r="AK130">
        <f>IF(T130=2,P130-U130,0)</f>
        <v>0</v>
      </c>
      <c r="AL130">
        <f>IF(T130=3,P130-U130,0)</f>
        <v>0</v>
      </c>
      <c r="AM130">
        <f>IF(T130=4,P130-U130,0)</f>
        <v>0</v>
      </c>
      <c r="AO130">
        <f>IF(T130=1,P130-U130,0)</f>
        <v>0</v>
      </c>
      <c r="AP130">
        <f>IF(T130=2,P130-U130,0)</f>
        <v>0</v>
      </c>
      <c r="AQ130">
        <f>IF(T130=3,P130-U130,0)</f>
        <v>0</v>
      </c>
      <c r="AR130">
        <f>IF(T130=4,P130-U130,0)</f>
        <v>0</v>
      </c>
    </row>
    <row r="131" spans="1:45" x14ac:dyDescent="0.25">
      <c r="B131" s="121" t="s">
        <v>518</v>
      </c>
      <c r="C131" s="146" t="s">
        <v>519</v>
      </c>
      <c r="D131" s="146"/>
      <c r="E131" t="s">
        <v>180</v>
      </c>
      <c r="F131">
        <f t="shared" si="84"/>
        <v>0</v>
      </c>
      <c r="G131">
        <f t="shared" si="85"/>
        <v>1</v>
      </c>
      <c r="H131" t="s">
        <v>517</v>
      </c>
      <c r="I131">
        <v>7</v>
      </c>
      <c r="K131" t="s">
        <v>516</v>
      </c>
      <c r="L131" t="s">
        <v>55</v>
      </c>
      <c r="M131" s="5">
        <v>0</v>
      </c>
      <c r="N131" s="4" t="s">
        <v>36</v>
      </c>
      <c r="P131" s="86">
        <v>1364</v>
      </c>
      <c r="Q131" s="1">
        <f t="shared" si="86"/>
        <v>546</v>
      </c>
      <c r="R131">
        <f t="shared" si="87"/>
        <v>1391</v>
      </c>
      <c r="S131" s="6" t="s">
        <v>515</v>
      </c>
      <c r="T131" s="61">
        <v>4</v>
      </c>
      <c r="U131" s="61">
        <f t="shared" si="103"/>
        <v>73</v>
      </c>
      <c r="V131" s="7" t="str">
        <f t="shared" si="88"/>
        <v>PAYPAL</v>
      </c>
      <c r="W131" s="56">
        <v>2</v>
      </c>
      <c r="X131" s="5" t="s">
        <v>25</v>
      </c>
      <c r="Y131" s="61">
        <f t="shared" si="89"/>
        <v>1937</v>
      </c>
      <c r="Z131" s="61"/>
      <c r="AA131" s="1">
        <f t="shared" si="90"/>
        <v>0</v>
      </c>
      <c r="AB131" s="1">
        <f t="shared" si="91"/>
        <v>130</v>
      </c>
      <c r="AC131" s="1"/>
      <c r="AD131" s="65">
        <f t="shared" si="92"/>
        <v>1307</v>
      </c>
      <c r="AE131" s="1"/>
      <c r="AF131" s="1">
        <f t="shared" si="93"/>
        <v>30</v>
      </c>
      <c r="AG131" s="1">
        <f>IF(AH131&gt;0,AH43:AH131,0)</f>
        <v>1277</v>
      </c>
      <c r="AH131" s="1">
        <f>AD131-AF131</f>
        <v>1277</v>
      </c>
      <c r="AJ131">
        <f>IF(T131=1,P131-U131,0)</f>
        <v>0</v>
      </c>
      <c r="AK131">
        <f>IF(T131=2,P131-U131,0)</f>
        <v>0</v>
      </c>
      <c r="AL131">
        <f>IF(T131=3,P131-U131,0)</f>
        <v>0</v>
      </c>
      <c r="AM131">
        <f>IF(T131=4,P131-U131,0)</f>
        <v>1291</v>
      </c>
      <c r="AO131">
        <f>IF(T131=1,P131-U131,0)</f>
        <v>0</v>
      </c>
      <c r="AP131">
        <f>IF(T131=2,P131-U131,0)</f>
        <v>0</v>
      </c>
      <c r="AQ131">
        <f>IF(T131=3,P131-U131,0)</f>
        <v>0</v>
      </c>
      <c r="AR131">
        <f>IF(T131=4,P131-U131,0)</f>
        <v>1291</v>
      </c>
    </row>
    <row r="132" spans="1:45" x14ac:dyDescent="0.25">
      <c r="B132" s="82" t="s">
        <v>82</v>
      </c>
      <c r="C132" s="8" t="s">
        <v>42</v>
      </c>
      <c r="D132" s="8"/>
      <c r="E132" t="s">
        <v>42</v>
      </c>
      <c r="F132">
        <f t="shared" si="84"/>
        <v>3</v>
      </c>
      <c r="G132">
        <f t="shared" si="85"/>
        <v>0</v>
      </c>
      <c r="H132" s="83" t="s">
        <v>576</v>
      </c>
      <c r="I132">
        <v>3</v>
      </c>
      <c r="K132" t="s">
        <v>63</v>
      </c>
      <c r="L132" t="s">
        <v>55</v>
      </c>
      <c r="M132" s="5">
        <v>3</v>
      </c>
      <c r="N132" s="4" t="s">
        <v>36</v>
      </c>
      <c r="P132" s="86">
        <v>0</v>
      </c>
      <c r="Q132" s="1">
        <f t="shared" si="86"/>
        <v>0</v>
      </c>
      <c r="R132">
        <f t="shared" si="87"/>
        <v>0</v>
      </c>
      <c r="S132" s="6"/>
      <c r="T132" s="61"/>
      <c r="U132" s="61">
        <f t="shared" si="103"/>
        <v>0</v>
      </c>
      <c r="V132" s="7" t="str">
        <f t="shared" si="88"/>
        <v>NONE</v>
      </c>
      <c r="W132" s="56"/>
      <c r="X132" s="5"/>
      <c r="Y132" s="61">
        <f t="shared" si="89"/>
        <v>0</v>
      </c>
      <c r="Z132" s="61"/>
      <c r="AA132" s="1">
        <f t="shared" si="90"/>
        <v>0</v>
      </c>
      <c r="AB132" s="1">
        <f t="shared" si="91"/>
        <v>130</v>
      </c>
      <c r="AC132" s="1"/>
      <c r="AD132" s="65">
        <f t="shared" si="92"/>
        <v>-130</v>
      </c>
      <c r="AE132" s="1"/>
      <c r="AF132" s="1">
        <f t="shared" si="93"/>
        <v>0</v>
      </c>
      <c r="AG132" s="1">
        <f>IF(AH132&gt;0,AH74:AH132,0)</f>
        <v>0</v>
      </c>
      <c r="AH132" s="1">
        <f t="shared" si="94"/>
        <v>-130</v>
      </c>
      <c r="AJ132">
        <f t="shared" si="95"/>
        <v>0</v>
      </c>
      <c r="AK132">
        <f t="shared" si="96"/>
        <v>0</v>
      </c>
      <c r="AL132">
        <f t="shared" si="97"/>
        <v>0</v>
      </c>
      <c r="AM132">
        <f t="shared" si="98"/>
        <v>0</v>
      </c>
      <c r="AO132">
        <f t="shared" si="99"/>
        <v>0</v>
      </c>
      <c r="AP132">
        <f t="shared" si="100"/>
        <v>0</v>
      </c>
      <c r="AQ132">
        <f t="shared" si="101"/>
        <v>0</v>
      </c>
      <c r="AR132">
        <f t="shared" si="102"/>
        <v>0</v>
      </c>
    </row>
    <row r="133" spans="1:45" x14ac:dyDescent="0.25">
      <c r="B133" s="8" t="s">
        <v>506</v>
      </c>
      <c r="C133" t="s">
        <v>507</v>
      </c>
      <c r="E133" t="s">
        <v>370</v>
      </c>
      <c r="F133">
        <f t="shared" si="84"/>
        <v>0</v>
      </c>
      <c r="G133">
        <f t="shared" si="85"/>
        <v>1</v>
      </c>
      <c r="H133" t="s">
        <v>508</v>
      </c>
      <c r="I133">
        <v>7</v>
      </c>
      <c r="K133" t="s">
        <v>103</v>
      </c>
      <c r="L133" t="s">
        <v>55</v>
      </c>
      <c r="M133" s="5">
        <v>0</v>
      </c>
      <c r="N133" s="4" t="s">
        <v>36</v>
      </c>
      <c r="P133" s="86">
        <v>1364</v>
      </c>
      <c r="Q133" s="1">
        <f t="shared" si="86"/>
        <v>546</v>
      </c>
      <c r="R133">
        <f t="shared" si="87"/>
        <v>1391</v>
      </c>
      <c r="S133" s="136" t="s">
        <v>509</v>
      </c>
      <c r="T133" s="61">
        <v>4</v>
      </c>
      <c r="U133" s="61">
        <f t="shared" si="103"/>
        <v>73</v>
      </c>
      <c r="V133" s="7" t="str">
        <f t="shared" si="88"/>
        <v>PAYPAL</v>
      </c>
      <c r="W133" s="56">
        <v>2</v>
      </c>
      <c r="X133" s="5" t="s">
        <v>25</v>
      </c>
      <c r="Y133" s="61">
        <f t="shared" si="89"/>
        <v>1937</v>
      </c>
      <c r="Z133" s="61"/>
      <c r="AA133" s="1">
        <f t="shared" si="90"/>
        <v>0</v>
      </c>
      <c r="AB133" s="1">
        <f t="shared" si="91"/>
        <v>130</v>
      </c>
      <c r="AC133" s="1"/>
      <c r="AD133" s="65">
        <f t="shared" si="92"/>
        <v>1307</v>
      </c>
      <c r="AE133" s="1"/>
      <c r="AF133" s="1">
        <f t="shared" si="93"/>
        <v>30</v>
      </c>
      <c r="AG133" s="1">
        <f>IF(AH133&gt;0,AH68:AH135,0)</f>
        <v>1277</v>
      </c>
      <c r="AH133" s="1">
        <f>AD133-AF133</f>
        <v>1277</v>
      </c>
      <c r="AJ133">
        <f>IF(T133=1,P133-U133,0)</f>
        <v>0</v>
      </c>
      <c r="AK133">
        <f>IF(T133=2,P133-U133,0)</f>
        <v>0</v>
      </c>
      <c r="AL133">
        <f>IF(T133=3,P133-U133,0)</f>
        <v>0</v>
      </c>
      <c r="AM133">
        <f>IF(T133=4,P133-U133,0)</f>
        <v>1291</v>
      </c>
      <c r="AO133">
        <f>IF(T133=1,P133-U133,0)</f>
        <v>0</v>
      </c>
      <c r="AP133">
        <f>IF(T133=2,P133-U133,0)</f>
        <v>0</v>
      </c>
      <c r="AQ133">
        <f>IF(T133=3,P133-U133,0)</f>
        <v>0</v>
      </c>
      <c r="AR133">
        <f>IF(T133=4,P133-U133,0)</f>
        <v>1291</v>
      </c>
    </row>
    <row r="134" spans="1:45" x14ac:dyDescent="0.25">
      <c r="B134" s="8" t="s">
        <v>492</v>
      </c>
      <c r="C134" t="s">
        <v>493</v>
      </c>
      <c r="E134" t="s">
        <v>197</v>
      </c>
      <c r="F134">
        <f t="shared" si="84"/>
        <v>0</v>
      </c>
      <c r="G134">
        <f t="shared" si="85"/>
        <v>1</v>
      </c>
      <c r="H134" t="s">
        <v>494</v>
      </c>
      <c r="I134">
        <v>13</v>
      </c>
      <c r="K134" t="s">
        <v>63</v>
      </c>
      <c r="L134" t="s">
        <v>55</v>
      </c>
      <c r="M134" s="5">
        <v>0</v>
      </c>
      <c r="N134" s="4" t="s">
        <v>36</v>
      </c>
      <c r="P134" s="86">
        <v>2537</v>
      </c>
      <c r="Q134" s="1">
        <f t="shared" si="86"/>
        <v>1015</v>
      </c>
      <c r="R134">
        <f t="shared" si="87"/>
        <v>2140</v>
      </c>
      <c r="S134" s="6" t="s">
        <v>495</v>
      </c>
      <c r="T134" s="61">
        <v>4</v>
      </c>
      <c r="U134" s="61">
        <f t="shared" si="103"/>
        <v>118</v>
      </c>
      <c r="V134" s="7" t="str">
        <f t="shared" si="88"/>
        <v>PAYPAL</v>
      </c>
      <c r="W134" s="56">
        <v>2</v>
      </c>
      <c r="X134" s="5" t="s">
        <v>260</v>
      </c>
      <c r="Y134" s="61">
        <f t="shared" si="89"/>
        <v>3155</v>
      </c>
      <c r="Z134" s="61"/>
      <c r="AA134" s="1">
        <f t="shared" si="90"/>
        <v>0</v>
      </c>
      <c r="AB134" s="1">
        <f t="shared" si="91"/>
        <v>130</v>
      </c>
      <c r="AC134" s="1"/>
      <c r="AD134" s="65">
        <f t="shared" si="92"/>
        <v>2525</v>
      </c>
      <c r="AE134" s="1"/>
      <c r="AF134" s="1">
        <f t="shared" si="93"/>
        <v>30</v>
      </c>
      <c r="AG134" s="1">
        <f>IF(AH134&gt;0,AH82:AH134,0)</f>
        <v>2495</v>
      </c>
      <c r="AH134" s="1">
        <f>AD134-AF134</f>
        <v>2495</v>
      </c>
      <c r="AJ134">
        <f>IF(T134=1,P134-U134,0)</f>
        <v>0</v>
      </c>
      <c r="AK134">
        <f>IF(T134=2,P134-U134,0)</f>
        <v>0</v>
      </c>
      <c r="AL134">
        <f>IF(T134=3,P134-U134,0)</f>
        <v>0</v>
      </c>
      <c r="AM134">
        <f>IF(T134=4,P134-U134,0)</f>
        <v>2419</v>
      </c>
      <c r="AO134">
        <f>IF(T134=1,P134-U134,0)</f>
        <v>0</v>
      </c>
      <c r="AP134">
        <f>IF(T134=2,P134-U134,0)</f>
        <v>0</v>
      </c>
      <c r="AQ134">
        <f>IF(T134=3,P134-U134,0)</f>
        <v>0</v>
      </c>
      <c r="AR134">
        <f>IF(T134=4,P134-U134,0)</f>
        <v>2419</v>
      </c>
    </row>
    <row r="135" spans="1:45" ht="15.75" x14ac:dyDescent="0.25">
      <c r="B135" s="137" t="s">
        <v>483</v>
      </c>
      <c r="C135" t="s">
        <v>484</v>
      </c>
      <c r="E135" t="s">
        <v>370</v>
      </c>
      <c r="F135">
        <f t="shared" si="84"/>
        <v>0</v>
      </c>
      <c r="G135">
        <f t="shared" si="85"/>
        <v>1</v>
      </c>
      <c r="H135" t="s">
        <v>485</v>
      </c>
      <c r="I135">
        <v>7</v>
      </c>
      <c r="K135" t="s">
        <v>74</v>
      </c>
      <c r="L135" t="s">
        <v>55</v>
      </c>
      <c r="M135" s="5">
        <v>0</v>
      </c>
      <c r="N135" s="4" t="s">
        <v>36</v>
      </c>
      <c r="P135" s="86">
        <v>1565</v>
      </c>
      <c r="Q135" s="1">
        <f t="shared" si="86"/>
        <v>626</v>
      </c>
      <c r="R135">
        <f t="shared" si="87"/>
        <v>1520</v>
      </c>
      <c r="S135" s="6" t="s">
        <v>486</v>
      </c>
      <c r="T135" s="61">
        <v>4</v>
      </c>
      <c r="U135" s="61">
        <f t="shared" si="103"/>
        <v>81</v>
      </c>
      <c r="V135" s="7" t="str">
        <f t="shared" si="88"/>
        <v>PAYPAL</v>
      </c>
      <c r="W135" s="56">
        <v>2</v>
      </c>
      <c r="X135" s="152" t="s">
        <v>594</v>
      </c>
      <c r="Y135" s="61">
        <f t="shared" si="89"/>
        <v>2146</v>
      </c>
      <c r="Z135" s="61"/>
      <c r="AA135" s="1">
        <f t="shared" si="90"/>
        <v>0</v>
      </c>
      <c r="AB135" s="1">
        <f t="shared" si="91"/>
        <v>130</v>
      </c>
      <c r="AC135" s="1"/>
      <c r="AD135" s="65">
        <f t="shared" si="92"/>
        <v>1516</v>
      </c>
      <c r="AE135" s="1"/>
      <c r="AF135" s="1">
        <f t="shared" si="93"/>
        <v>30</v>
      </c>
      <c r="AG135" s="1">
        <f>IF(AH135&gt;0,AH69:AH135,0)</f>
        <v>1486</v>
      </c>
      <c r="AH135" s="1">
        <f>AD135-AF135</f>
        <v>1486</v>
      </c>
      <c r="AJ135">
        <f>IF(T135=1,P135-U135,0)</f>
        <v>0</v>
      </c>
      <c r="AK135">
        <f>IF(T135=2,P135-U135,0)</f>
        <v>0</v>
      </c>
      <c r="AL135">
        <f>IF(T135=3,P135-U135,0)</f>
        <v>0</v>
      </c>
      <c r="AM135">
        <f>IF(T135=4,P135-U135,0)</f>
        <v>1484</v>
      </c>
      <c r="AO135">
        <f>IF(T135=1,P135-U135,0)</f>
        <v>0</v>
      </c>
      <c r="AP135">
        <f>IF(T135=2,P135-U135,0)</f>
        <v>0</v>
      </c>
      <c r="AQ135">
        <f>IF(T135=3,P135-U135,0)</f>
        <v>0</v>
      </c>
      <c r="AR135">
        <f>IF(T135=4,P135-U135,0)</f>
        <v>1484</v>
      </c>
    </row>
    <row r="136" spans="1:45" x14ac:dyDescent="0.25">
      <c r="B136" s="121" t="s">
        <v>529</v>
      </c>
      <c r="C136" t="s">
        <v>530</v>
      </c>
      <c r="E136" t="s">
        <v>30</v>
      </c>
      <c r="F136">
        <f t="shared" si="84"/>
        <v>0</v>
      </c>
      <c r="G136">
        <f t="shared" si="85"/>
        <v>1</v>
      </c>
      <c r="H136" t="s">
        <v>531</v>
      </c>
      <c r="I136">
        <v>7</v>
      </c>
      <c r="K136" t="s">
        <v>103</v>
      </c>
      <c r="L136" t="s">
        <v>55</v>
      </c>
      <c r="M136" s="5">
        <v>0</v>
      </c>
      <c r="N136" s="4" t="s">
        <v>36</v>
      </c>
      <c r="P136" s="86">
        <v>1364</v>
      </c>
      <c r="Q136" s="1">
        <f t="shared" si="86"/>
        <v>546</v>
      </c>
      <c r="R136">
        <f t="shared" si="87"/>
        <v>1391</v>
      </c>
      <c r="S136" s="6" t="s">
        <v>532</v>
      </c>
      <c r="T136" s="61">
        <v>4</v>
      </c>
      <c r="U136" s="61">
        <f t="shared" si="103"/>
        <v>73</v>
      </c>
      <c r="V136" s="7" t="str">
        <f t="shared" si="88"/>
        <v>PAYPAL</v>
      </c>
      <c r="W136" s="56">
        <v>2</v>
      </c>
      <c r="X136" s="5" t="s">
        <v>612</v>
      </c>
      <c r="Y136" s="61">
        <f t="shared" si="89"/>
        <v>1937</v>
      </c>
      <c r="Z136" s="61"/>
      <c r="AA136" s="1">
        <f t="shared" si="90"/>
        <v>0</v>
      </c>
      <c r="AB136" s="1">
        <f t="shared" si="91"/>
        <v>130</v>
      </c>
      <c r="AC136" s="1"/>
      <c r="AD136" s="65">
        <f t="shared" si="92"/>
        <v>1307</v>
      </c>
      <c r="AE136" s="1"/>
      <c r="AF136" s="1">
        <f t="shared" si="93"/>
        <v>30</v>
      </c>
      <c r="AG136" s="1">
        <f>IF(AH136&gt;0,AH45:AH136,0)</f>
        <v>1277</v>
      </c>
      <c r="AH136" s="1">
        <f>AD136-AF136</f>
        <v>1277</v>
      </c>
      <c r="AJ136">
        <f>IF(T136=1,P136-U136,0)</f>
        <v>0</v>
      </c>
      <c r="AK136">
        <f>IF(T136=2,P136-U136,0)</f>
        <v>0</v>
      </c>
      <c r="AL136">
        <f>IF(T136=3,P136-U136,0)</f>
        <v>0</v>
      </c>
      <c r="AM136">
        <f>IF(T136=4,P136-U136,0)</f>
        <v>1291</v>
      </c>
      <c r="AO136">
        <f>IF(T136=1,P136-U136,0)</f>
        <v>0</v>
      </c>
      <c r="AP136">
        <f>IF(T136=2,P136-U136,0)</f>
        <v>0</v>
      </c>
      <c r="AQ136">
        <f>IF(T136=3,P136-U136,0)</f>
        <v>0</v>
      </c>
      <c r="AR136">
        <f>IF(T136=4,P136-U136,0)</f>
        <v>1291</v>
      </c>
    </row>
    <row r="137" spans="1:45" x14ac:dyDescent="0.25">
      <c r="B137" s="82" t="s">
        <v>82</v>
      </c>
      <c r="C137" s="8" t="s">
        <v>42</v>
      </c>
      <c r="D137" s="8"/>
      <c r="E137" t="s">
        <v>42</v>
      </c>
      <c r="F137">
        <f t="shared" si="84"/>
        <v>5</v>
      </c>
      <c r="G137">
        <f t="shared" si="85"/>
        <v>0</v>
      </c>
      <c r="H137" s="83" t="s">
        <v>412</v>
      </c>
      <c r="I137">
        <v>5</v>
      </c>
      <c r="K137" t="s">
        <v>63</v>
      </c>
      <c r="L137" t="s">
        <v>55</v>
      </c>
      <c r="M137" s="5">
        <v>3</v>
      </c>
      <c r="N137" s="4" t="s">
        <v>36</v>
      </c>
      <c r="P137" s="86">
        <v>0</v>
      </c>
      <c r="Q137" s="1">
        <f t="shared" si="86"/>
        <v>0</v>
      </c>
      <c r="R137">
        <f t="shared" si="87"/>
        <v>0</v>
      </c>
      <c r="S137" s="6"/>
      <c r="T137" s="61"/>
      <c r="U137" s="61">
        <f t="shared" si="103"/>
        <v>0</v>
      </c>
      <c r="V137" s="7" t="str">
        <f t="shared" si="88"/>
        <v>NONE</v>
      </c>
      <c r="W137" s="56"/>
      <c r="X137" s="5"/>
      <c r="Y137" s="61">
        <f t="shared" si="89"/>
        <v>0</v>
      </c>
      <c r="Z137" s="61"/>
      <c r="AA137" s="1">
        <f t="shared" si="90"/>
        <v>0</v>
      </c>
      <c r="AB137" s="1">
        <f t="shared" si="91"/>
        <v>130</v>
      </c>
      <c r="AC137" s="1"/>
      <c r="AD137" s="65">
        <f t="shared" si="92"/>
        <v>-130</v>
      </c>
      <c r="AE137" s="1"/>
      <c r="AF137" s="1">
        <f t="shared" si="93"/>
        <v>0</v>
      </c>
      <c r="AG137" s="1">
        <f>IF(AH137&gt;0,AH75:AH137,0)</f>
        <v>0</v>
      </c>
      <c r="AH137" s="1">
        <f t="shared" si="94"/>
        <v>-130</v>
      </c>
      <c r="AJ137">
        <f t="shared" si="95"/>
        <v>0</v>
      </c>
      <c r="AK137">
        <f t="shared" si="96"/>
        <v>0</v>
      </c>
      <c r="AL137">
        <f t="shared" si="97"/>
        <v>0</v>
      </c>
      <c r="AM137">
        <f t="shared" si="98"/>
        <v>0</v>
      </c>
      <c r="AO137">
        <f t="shared" si="99"/>
        <v>0</v>
      </c>
      <c r="AP137">
        <f t="shared" si="100"/>
        <v>0</v>
      </c>
      <c r="AQ137">
        <f t="shared" si="101"/>
        <v>0</v>
      </c>
      <c r="AR137">
        <f t="shared" si="102"/>
        <v>0</v>
      </c>
    </row>
    <row r="138" spans="1:45" x14ac:dyDescent="0.25">
      <c r="B138" s="8" t="s">
        <v>577</v>
      </c>
      <c r="C138" t="s">
        <v>578</v>
      </c>
      <c r="E138" t="s">
        <v>370</v>
      </c>
      <c r="F138">
        <f t="shared" si="84"/>
        <v>0</v>
      </c>
      <c r="G138">
        <f t="shared" si="85"/>
        <v>1</v>
      </c>
      <c r="H138" t="s">
        <v>579</v>
      </c>
      <c r="I138">
        <v>9</v>
      </c>
      <c r="K138" t="s">
        <v>399</v>
      </c>
      <c r="L138" t="s">
        <v>55</v>
      </c>
      <c r="M138" s="5">
        <v>0</v>
      </c>
      <c r="N138" s="4" t="s">
        <v>36</v>
      </c>
      <c r="P138" s="148">
        <v>1872</v>
      </c>
      <c r="Q138" s="1">
        <f t="shared" si="86"/>
        <v>749</v>
      </c>
      <c r="R138">
        <f t="shared" si="87"/>
        <v>1716</v>
      </c>
      <c r="S138" s="6" t="s">
        <v>580</v>
      </c>
      <c r="T138" s="61">
        <v>4</v>
      </c>
      <c r="U138" s="61">
        <f t="shared" si="103"/>
        <v>93</v>
      </c>
      <c r="V138" s="7" t="str">
        <f t="shared" si="88"/>
        <v>PAYPAL</v>
      </c>
      <c r="W138" s="56">
        <v>2</v>
      </c>
      <c r="X138" s="5" t="s">
        <v>559</v>
      </c>
      <c r="Y138" s="61">
        <f t="shared" si="89"/>
        <v>2465</v>
      </c>
      <c r="Z138" s="61"/>
      <c r="AA138" s="1">
        <f t="shared" si="90"/>
        <v>0</v>
      </c>
      <c r="AB138" s="1">
        <f t="shared" si="91"/>
        <v>130</v>
      </c>
      <c r="AC138" s="1"/>
      <c r="AD138" s="65">
        <f t="shared" si="92"/>
        <v>1835</v>
      </c>
      <c r="AE138" s="1"/>
      <c r="AF138" s="1">
        <f t="shared" si="93"/>
        <v>30</v>
      </c>
      <c r="AG138" s="1">
        <f>IF(AH138&gt;0,AH36:AH138,0)</f>
        <v>1805</v>
      </c>
      <c r="AH138" s="1">
        <f>AD138-AF138</f>
        <v>1805</v>
      </c>
      <c r="AJ138">
        <f>IF(T138=1,P138-U138,0)</f>
        <v>0</v>
      </c>
      <c r="AK138">
        <f>IF(T138=2,P138-U138,0)</f>
        <v>0</v>
      </c>
      <c r="AL138">
        <f>IF(T138=3,P138-U138,0)</f>
        <v>0</v>
      </c>
      <c r="AM138">
        <f>IF(T138=4,P138-U138,0)</f>
        <v>1779</v>
      </c>
      <c r="AO138">
        <f>IF(T138=1,P138-U138,0)</f>
        <v>0</v>
      </c>
      <c r="AP138">
        <f>IF(T138=2,P138-U138,0)</f>
        <v>0</v>
      </c>
      <c r="AQ138">
        <f>IF(T138=3,P138-U138,0)</f>
        <v>0</v>
      </c>
      <c r="AR138">
        <f>IF(T138=4,P138-U138,0)</f>
        <v>1779</v>
      </c>
    </row>
    <row r="139" spans="1:45" x14ac:dyDescent="0.25">
      <c r="B139" s="121" t="s">
        <v>523</v>
      </c>
      <c r="C139" t="s">
        <v>524</v>
      </c>
      <c r="E139" t="s">
        <v>180</v>
      </c>
      <c r="F139">
        <f t="shared" si="84"/>
        <v>0</v>
      </c>
      <c r="G139">
        <f t="shared" si="85"/>
        <v>1</v>
      </c>
      <c r="H139" t="s">
        <v>525</v>
      </c>
      <c r="I139">
        <v>7</v>
      </c>
      <c r="K139" t="s">
        <v>526</v>
      </c>
      <c r="L139" t="s">
        <v>55</v>
      </c>
      <c r="M139" s="5">
        <v>0</v>
      </c>
      <c r="N139" s="4" t="s">
        <v>36</v>
      </c>
      <c r="P139" s="86">
        <v>1364</v>
      </c>
      <c r="Q139" s="1">
        <f t="shared" si="86"/>
        <v>546</v>
      </c>
      <c r="R139">
        <f t="shared" si="87"/>
        <v>1391</v>
      </c>
      <c r="S139" s="6" t="s">
        <v>527</v>
      </c>
      <c r="T139" s="61">
        <v>4</v>
      </c>
      <c r="U139" s="61">
        <f t="shared" si="103"/>
        <v>73</v>
      </c>
      <c r="V139" s="7" t="str">
        <f t="shared" si="88"/>
        <v>PAYPAL</v>
      </c>
      <c r="W139" s="56">
        <v>2</v>
      </c>
      <c r="X139" s="5" t="s">
        <v>25</v>
      </c>
      <c r="Y139" s="61">
        <f t="shared" si="89"/>
        <v>1937</v>
      </c>
      <c r="Z139" s="61"/>
      <c r="AA139" s="1">
        <f t="shared" si="90"/>
        <v>0</v>
      </c>
      <c r="AB139" s="1">
        <f t="shared" si="91"/>
        <v>130</v>
      </c>
      <c r="AC139" s="1"/>
      <c r="AD139" s="65">
        <f t="shared" si="92"/>
        <v>1307</v>
      </c>
      <c r="AE139" s="1"/>
      <c r="AF139" s="1">
        <f t="shared" si="93"/>
        <v>30</v>
      </c>
      <c r="AG139" s="1">
        <f>IF(AH139&gt;0,AH47:AH139,0)</f>
        <v>1277</v>
      </c>
      <c r="AH139" s="1">
        <f>AD139-AF139</f>
        <v>1277</v>
      </c>
      <c r="AJ139">
        <f>IF(T139=1,P139-U139,0)</f>
        <v>0</v>
      </c>
      <c r="AK139">
        <f>IF(T139=2,P139-U139,0)</f>
        <v>0</v>
      </c>
      <c r="AL139">
        <f>IF(T139=3,P139-U139,0)</f>
        <v>0</v>
      </c>
      <c r="AM139">
        <f>IF(T139=4,P139-U139,0)</f>
        <v>1291</v>
      </c>
      <c r="AO139">
        <f>IF(T139=1,P139-U139,0)</f>
        <v>0</v>
      </c>
      <c r="AP139">
        <f>IF(T139=2,P139-U139,0)</f>
        <v>0</v>
      </c>
      <c r="AQ139">
        <f>IF(T139=3,P139-U139,0)</f>
        <v>0</v>
      </c>
      <c r="AR139">
        <f>IF(T139=4,P139-U139,0)</f>
        <v>1291</v>
      </c>
    </row>
    <row r="140" spans="1:45" x14ac:dyDescent="0.25">
      <c r="B140" s="150" t="s">
        <v>591</v>
      </c>
      <c r="C140" t="s">
        <v>593</v>
      </c>
      <c r="E140" t="s">
        <v>370</v>
      </c>
      <c r="F140">
        <f t="shared" si="84"/>
        <v>0</v>
      </c>
      <c r="G140">
        <f t="shared" si="85"/>
        <v>1</v>
      </c>
      <c r="H140" s="154" t="s">
        <v>613</v>
      </c>
      <c r="I140">
        <v>8</v>
      </c>
      <c r="K140" t="s">
        <v>434</v>
      </c>
      <c r="L140" t="s">
        <v>55</v>
      </c>
      <c r="M140" s="5">
        <v>0</v>
      </c>
      <c r="N140" s="4" t="s">
        <v>36</v>
      </c>
      <c r="P140" s="86">
        <v>1685</v>
      </c>
      <c r="Q140" s="1">
        <f t="shared" si="86"/>
        <v>674</v>
      </c>
      <c r="R140">
        <f t="shared" si="87"/>
        <v>1596</v>
      </c>
      <c r="S140" s="6" t="s">
        <v>592</v>
      </c>
      <c r="T140" s="61">
        <v>4</v>
      </c>
      <c r="U140" s="61">
        <f t="shared" si="103"/>
        <v>85</v>
      </c>
      <c r="V140" s="7" t="str">
        <f t="shared" si="88"/>
        <v>PAYPAL</v>
      </c>
      <c r="W140" s="56">
        <v>2</v>
      </c>
      <c r="X140" s="5" t="s">
        <v>25</v>
      </c>
      <c r="Y140" s="61">
        <f t="shared" si="89"/>
        <v>2270</v>
      </c>
      <c r="Z140" s="61"/>
      <c r="AA140" s="1">
        <f t="shared" si="90"/>
        <v>0</v>
      </c>
      <c r="AB140" s="1">
        <f t="shared" si="91"/>
        <v>130</v>
      </c>
      <c r="AC140" s="1"/>
      <c r="AD140" s="65">
        <f t="shared" si="92"/>
        <v>1640</v>
      </c>
      <c r="AE140" s="1"/>
      <c r="AF140" s="1">
        <f t="shared" si="93"/>
        <v>30</v>
      </c>
      <c r="AG140" s="1">
        <f>IF(AH140&gt;0,AH71:AH140,0)</f>
        <v>1610</v>
      </c>
      <c r="AH140" s="1">
        <f>AD140-AF140</f>
        <v>1610</v>
      </c>
      <c r="AJ140">
        <f>IF(T140=1,P140-U140,0)</f>
        <v>0</v>
      </c>
      <c r="AK140">
        <f>IF(T140=2,P140-U140,0)</f>
        <v>0</v>
      </c>
      <c r="AL140">
        <f>IF(T140=3,P140-U140,0)</f>
        <v>0</v>
      </c>
      <c r="AM140">
        <f>IF(T140=4,P140-U140,0)</f>
        <v>1600</v>
      </c>
      <c r="AO140">
        <f>IF(T140=1,P140-U140,0)</f>
        <v>0</v>
      </c>
      <c r="AP140">
        <f>IF(T140=2,P140-U140,0)</f>
        <v>0</v>
      </c>
      <c r="AQ140">
        <f>IF(T140=3,P140-U140,0)</f>
        <v>0</v>
      </c>
      <c r="AR140">
        <f>IF(T140=4,P140-U140,0)</f>
        <v>1600</v>
      </c>
    </row>
    <row r="141" spans="1:45" x14ac:dyDescent="0.25">
      <c r="B141" s="82" t="s">
        <v>82</v>
      </c>
      <c r="C141" s="8" t="s">
        <v>42</v>
      </c>
      <c r="D141" s="8"/>
      <c r="E141" t="s">
        <v>42</v>
      </c>
      <c r="F141">
        <f t="shared" si="84"/>
        <v>4</v>
      </c>
      <c r="G141">
        <f t="shared" si="85"/>
        <v>0</v>
      </c>
      <c r="H141" s="83" t="s">
        <v>596</v>
      </c>
      <c r="I141">
        <v>4</v>
      </c>
      <c r="K141" t="s">
        <v>63</v>
      </c>
      <c r="L141" t="s">
        <v>55</v>
      </c>
      <c r="M141" s="5">
        <v>3</v>
      </c>
      <c r="N141" s="4" t="s">
        <v>36</v>
      </c>
      <c r="P141" s="86">
        <v>0</v>
      </c>
      <c r="Q141" s="1">
        <f t="shared" si="86"/>
        <v>0</v>
      </c>
      <c r="R141">
        <f t="shared" si="87"/>
        <v>0</v>
      </c>
      <c r="S141" s="6"/>
      <c r="T141" s="61"/>
      <c r="U141" s="61">
        <f t="shared" si="103"/>
        <v>0</v>
      </c>
      <c r="V141" s="7" t="str">
        <f t="shared" si="88"/>
        <v>NONE</v>
      </c>
      <c r="W141" s="56"/>
      <c r="X141" s="5"/>
      <c r="Y141" s="61">
        <f t="shared" si="89"/>
        <v>0</v>
      </c>
      <c r="Z141" s="61"/>
      <c r="AA141" s="1">
        <f t="shared" si="90"/>
        <v>0</v>
      </c>
      <c r="AB141" s="1">
        <f t="shared" si="91"/>
        <v>130</v>
      </c>
      <c r="AC141" s="1"/>
      <c r="AD141" s="65">
        <f t="shared" si="92"/>
        <v>-130</v>
      </c>
      <c r="AE141" s="1"/>
      <c r="AF141" s="1">
        <f t="shared" si="93"/>
        <v>0</v>
      </c>
      <c r="AG141" s="1">
        <f>IF(AH141&gt;0,AH76:AH141,0)</f>
        <v>0</v>
      </c>
      <c r="AH141" s="1">
        <f t="shared" si="94"/>
        <v>-130</v>
      </c>
      <c r="AJ141">
        <f t="shared" si="95"/>
        <v>0</v>
      </c>
      <c r="AK141">
        <f t="shared" si="96"/>
        <v>0</v>
      </c>
      <c r="AL141">
        <f t="shared" si="97"/>
        <v>0</v>
      </c>
      <c r="AM141">
        <f t="shared" si="98"/>
        <v>0</v>
      </c>
      <c r="AO141">
        <f t="shared" si="99"/>
        <v>0</v>
      </c>
      <c r="AP141">
        <f t="shared" si="100"/>
        <v>0</v>
      </c>
      <c r="AQ141">
        <f t="shared" si="101"/>
        <v>0</v>
      </c>
      <c r="AR141">
        <f t="shared" si="102"/>
        <v>0</v>
      </c>
    </row>
    <row r="142" spans="1:45" x14ac:dyDescent="0.25">
      <c r="A142" s="40"/>
      <c r="B142" s="155">
        <f>COUNTIFS(E110:E141,"&lt;&gt;NA")-COUNTIFS(E110:E141,"="&amp;E1)</f>
        <v>21</v>
      </c>
      <c r="C142" s="140" t="s">
        <v>472</v>
      </c>
      <c r="D142" s="140"/>
      <c r="E142" s="40">
        <f>SUM(F109:F141)</f>
        <v>112</v>
      </c>
      <c r="F142" s="40"/>
      <c r="G142" s="40"/>
      <c r="H142" s="54" t="s">
        <v>215</v>
      </c>
      <c r="I142" s="53">
        <f>SUM(I109:I141)-SUM(F109:F141)</f>
        <v>221</v>
      </c>
      <c r="J142" s="53"/>
      <c r="K142" s="52">
        <f>ROUND(I142/7,0)</f>
        <v>32</v>
      </c>
      <c r="L142" s="52" t="s">
        <v>214</v>
      </c>
      <c r="M142" s="54" t="s">
        <v>216</v>
      </c>
      <c r="N142" s="123">
        <f>ROUND(AG142/K142,0)</f>
        <v>1335</v>
      </c>
      <c r="O142" s="40"/>
      <c r="P142" s="71">
        <f>SUM(P109:P141)</f>
        <v>44072</v>
      </c>
      <c r="Q142" s="43"/>
      <c r="R142" s="69">
        <f>AA142</f>
        <v>0</v>
      </c>
      <c r="S142" s="68" t="s">
        <v>254</v>
      </c>
      <c r="T142" s="101"/>
      <c r="U142" s="62"/>
      <c r="V142" s="42"/>
      <c r="W142" s="42"/>
      <c r="X142" s="41"/>
      <c r="Y142" s="43"/>
      <c r="Z142" s="43">
        <f>AA142</f>
        <v>0</v>
      </c>
      <c r="AA142" s="43">
        <f>SUM(AA109:AA141)</f>
        <v>0</v>
      </c>
      <c r="AB142" s="43">
        <f>SUM(AB109:AB141)</f>
        <v>4030</v>
      </c>
      <c r="AC142" s="43">
        <f>AB142</f>
        <v>4030</v>
      </c>
      <c r="AD142" s="40"/>
      <c r="AE142" s="43"/>
      <c r="AF142" s="43">
        <f>SUM(AF109:AF141)</f>
        <v>630</v>
      </c>
      <c r="AG142" s="43">
        <f>SUM(AG109:AG141)</f>
        <v>42713</v>
      </c>
      <c r="AH142" s="71">
        <f>SUM(AH109:AH141)</f>
        <v>41413</v>
      </c>
      <c r="AI142" s="40">
        <f>AH142</f>
        <v>41413</v>
      </c>
      <c r="AJ142" s="104">
        <f>SUM(AJ110:AJ141)</f>
        <v>7106</v>
      </c>
      <c r="AK142" s="104">
        <f>SUM(AK110:AK141)</f>
        <v>11280</v>
      </c>
      <c r="AL142" s="104">
        <f>SUM(AL110:AL141)</f>
        <v>11239</v>
      </c>
      <c r="AM142" s="104">
        <f>SUM(AM110:AM141)</f>
        <v>12446</v>
      </c>
      <c r="AN142" s="106">
        <f>SUM(AJ142:AM142)</f>
        <v>42071</v>
      </c>
      <c r="AO142" s="104">
        <f>SUM(AO110:AO141)</f>
        <v>7106</v>
      </c>
      <c r="AP142" s="104">
        <f>SUM(AP110:AP141)</f>
        <v>11280</v>
      </c>
      <c r="AQ142" s="104">
        <f>SUM(AQ110:AQ141)</f>
        <v>11239</v>
      </c>
      <c r="AR142" s="104">
        <f>SUM(AR110:AR141)</f>
        <v>12446</v>
      </c>
      <c r="AS142" s="106">
        <f>SUM(AO142:AR142)</f>
        <v>42071</v>
      </c>
    </row>
    <row r="143" spans="1:45" ht="21" customHeight="1" x14ac:dyDescent="0.35">
      <c r="A143" s="105"/>
      <c r="B143" s="122">
        <v>2014</v>
      </c>
      <c r="C143" s="107"/>
      <c r="D143" s="107"/>
      <c r="E143" s="105"/>
      <c r="F143" s="105"/>
      <c r="G143" s="105"/>
      <c r="H143" s="108"/>
      <c r="I143" s="109"/>
      <c r="J143" s="109"/>
      <c r="K143" s="110"/>
      <c r="L143" s="110"/>
      <c r="M143" s="108"/>
      <c r="N143" s="111"/>
      <c r="O143" s="105"/>
      <c r="P143" s="112"/>
      <c r="Q143" s="113"/>
      <c r="R143" s="114"/>
      <c r="S143" s="115"/>
      <c r="T143" s="116"/>
      <c r="U143" s="117"/>
      <c r="V143" s="118"/>
      <c r="W143" s="118"/>
      <c r="X143" s="119"/>
      <c r="Y143" s="113"/>
      <c r="Z143" s="113"/>
      <c r="AA143" s="113"/>
      <c r="AB143" s="113"/>
      <c r="AC143" s="113"/>
      <c r="AD143" s="105"/>
      <c r="AE143" s="113"/>
      <c r="AF143" s="113"/>
      <c r="AG143" s="113"/>
      <c r="AH143" s="112"/>
      <c r="AI143" s="40"/>
      <c r="AJ143" s="96">
        <f>ROUNDUP(AJ142*0.04,0)</f>
        <v>285</v>
      </c>
      <c r="AK143" s="96">
        <f>ROUNDUP(AK142*0.04,0)</f>
        <v>452</v>
      </c>
      <c r="AL143" s="96">
        <f>ROUNDUP(AL142*0.04,0)</f>
        <v>450</v>
      </c>
      <c r="AM143" s="96">
        <f>ROUNDUP(AM142*0.04,0)</f>
        <v>498</v>
      </c>
      <c r="AN143" s="106">
        <f>SUM(AJ143:AM143)</f>
        <v>1685</v>
      </c>
      <c r="AO143" s="96">
        <f>ROUNDUP(AO142*0.06,0)</f>
        <v>427</v>
      </c>
      <c r="AP143" s="96">
        <f>ROUNDUP(AP142*0.06,0)</f>
        <v>677</v>
      </c>
      <c r="AQ143" s="96">
        <f>ROUNDUP(AQ142*0.06,0)</f>
        <v>675</v>
      </c>
      <c r="AR143" s="96">
        <f>ROUNDUP(AR142*0.06,0)</f>
        <v>747</v>
      </c>
      <c r="AS143" s="106">
        <f>SUM(AO143:AR143)</f>
        <v>2526</v>
      </c>
    </row>
    <row r="144" spans="1:45" x14ac:dyDescent="0.25">
      <c r="B144" s="82" t="s">
        <v>82</v>
      </c>
      <c r="C144" s="8" t="s">
        <v>42</v>
      </c>
      <c r="D144" s="8"/>
      <c r="E144" t="s">
        <v>42</v>
      </c>
      <c r="F144">
        <f t="shared" ref="F144:F149" si="104">IF(E144=$B$12,I144,0)</f>
        <v>58</v>
      </c>
      <c r="G144">
        <f>IF(F144&gt;0,0,1)</f>
        <v>0</v>
      </c>
      <c r="H144" s="83" t="s">
        <v>440</v>
      </c>
      <c r="I144" s="121">
        <v>58</v>
      </c>
      <c r="K144" t="s">
        <v>143</v>
      </c>
      <c r="L144" t="s">
        <v>55</v>
      </c>
      <c r="M144" s="5">
        <v>3</v>
      </c>
      <c r="N144" s="4" t="s">
        <v>387</v>
      </c>
      <c r="P144" s="86">
        <v>0</v>
      </c>
      <c r="Q144" s="1">
        <f>ROUND((P144*0.4),0)</f>
        <v>0</v>
      </c>
      <c r="R144">
        <f>IF(P144&gt;0,((P144+500)-Q144)+U144,0)</f>
        <v>0</v>
      </c>
      <c r="S144" s="6"/>
      <c r="T144" s="61">
        <v>1</v>
      </c>
      <c r="U144" s="61">
        <f>IF(V144=$AE$2,47,IF(V144=$AE$1,ROUND(((P144+500)*0.039),0),IF(V144=$AE$3,0)))</f>
        <v>0</v>
      </c>
      <c r="V144" s="7" t="str">
        <f t="shared" ref="V144:V149" si="105">IF(W144=1,$AE$2,IF(W144=2,$AE$1,IF(AND(W144&lt;&gt;1,W144&lt;&gt;20)=TRUE,$AE$3)))</f>
        <v>NONE</v>
      </c>
      <c r="W144" s="56"/>
      <c r="X144" s="5"/>
      <c r="Y144" s="61">
        <f t="shared" ref="Y144:Y149" si="106">R144+Q144</f>
        <v>0</v>
      </c>
      <c r="Z144" s="61"/>
      <c r="AA144" s="1">
        <f t="shared" ref="AA144:AA149" si="107">IF(X144=$AA$1,R144-500,0)</f>
        <v>0</v>
      </c>
      <c r="AB144" s="1">
        <f t="shared" ref="AB144:AB149" si="108">IF(I144&gt;0,130,0)</f>
        <v>130</v>
      </c>
      <c r="AC144" s="1"/>
      <c r="AD144" s="65">
        <f t="shared" ref="AD144:AD149" si="109">(P144+U144)-AB144</f>
        <v>-130</v>
      </c>
      <c r="AE144" s="1"/>
      <c r="AF144" s="1">
        <f t="shared" ref="AF144:AF149" si="110">IF(I144&gt;0,30*G144,0)</f>
        <v>0</v>
      </c>
      <c r="AG144" s="1">
        <f>IF(AH144&gt;0,AH78:AH144,0)</f>
        <v>0</v>
      </c>
      <c r="AH144" s="1">
        <f t="shared" ref="AH144:AH157" si="111">AD144-AF144</f>
        <v>-130</v>
      </c>
      <c r="AJ144">
        <f t="shared" ref="AJ144:AJ157" si="112">IF(T144=1,P144-U144,0)</f>
        <v>0</v>
      </c>
      <c r="AK144">
        <f t="shared" ref="AK144:AK157" si="113">IF(T144=2,P144-U144,0)</f>
        <v>0</v>
      </c>
      <c r="AL144">
        <f t="shared" ref="AL144:AL157" si="114">IF(T144=3,P144-U144,0)</f>
        <v>0</v>
      </c>
      <c r="AM144">
        <f t="shared" ref="AM144:AM157" si="115">IF(T144=4,P144-U144,0)</f>
        <v>0</v>
      </c>
      <c r="AO144">
        <f t="shared" ref="AO144:AO157" si="116">IF(T144=1,P144-U144,0)</f>
        <v>0</v>
      </c>
      <c r="AP144">
        <f t="shared" ref="AP144:AP157" si="117">IF(T144=2,P144-U144,0)</f>
        <v>0</v>
      </c>
      <c r="AQ144">
        <f t="shared" ref="AQ144:AQ157" si="118">IF(T144=3,P144-U144,0)</f>
        <v>0</v>
      </c>
      <c r="AR144">
        <f t="shared" ref="AR144:AR157" si="119">IF(T144=4,P144-U144,0)</f>
        <v>0</v>
      </c>
    </row>
    <row r="145" spans="2:44" x14ac:dyDescent="0.25">
      <c r="B145" s="82" t="s">
        <v>82</v>
      </c>
      <c r="C145" t="s">
        <v>42</v>
      </c>
      <c r="E145" t="s">
        <v>42</v>
      </c>
      <c r="F145">
        <f t="shared" si="104"/>
        <v>3</v>
      </c>
      <c r="G145">
        <f t="shared" ref="G145:G157" si="120">IF(F145&gt;0,0,1)</f>
        <v>0</v>
      </c>
      <c r="H145" s="135" t="s">
        <v>437</v>
      </c>
      <c r="I145" s="8">
        <v>3</v>
      </c>
      <c r="J145" s="48"/>
      <c r="K145" t="s">
        <v>143</v>
      </c>
      <c r="L145" s="51" t="s">
        <v>55</v>
      </c>
      <c r="M145" s="51">
        <v>3</v>
      </c>
      <c r="N145" s="4" t="s">
        <v>36</v>
      </c>
      <c r="P145" s="86">
        <v>0</v>
      </c>
      <c r="Q145" s="1">
        <f>ROUND((P145*0.4),0)</f>
        <v>0</v>
      </c>
      <c r="R145">
        <f>IF(P145&gt;0,((P145+500)-Q145)+U145,0)</f>
        <v>0</v>
      </c>
      <c r="S145" s="6"/>
      <c r="T145" s="61">
        <v>1</v>
      </c>
      <c r="U145" s="61">
        <v>0</v>
      </c>
      <c r="V145" s="7" t="str">
        <f t="shared" si="105"/>
        <v>PAYPAL</v>
      </c>
      <c r="W145" s="56">
        <v>2</v>
      </c>
      <c r="X145" s="5"/>
      <c r="Y145" s="61">
        <f t="shared" si="106"/>
        <v>0</v>
      </c>
      <c r="Z145" s="61"/>
      <c r="AA145" s="1">
        <f t="shared" si="107"/>
        <v>0</v>
      </c>
      <c r="AB145" s="1">
        <f t="shared" si="108"/>
        <v>130</v>
      </c>
      <c r="AC145" s="1"/>
      <c r="AD145" s="65">
        <f t="shared" si="109"/>
        <v>-130</v>
      </c>
      <c r="AE145" s="1"/>
      <c r="AF145" s="1">
        <f t="shared" si="110"/>
        <v>0</v>
      </c>
      <c r="AG145" s="1">
        <f>IF(AH145&gt;0,AH78:AH145,0)</f>
        <v>0</v>
      </c>
      <c r="AH145" s="1">
        <f t="shared" si="111"/>
        <v>-130</v>
      </c>
      <c r="AJ145">
        <f t="shared" si="112"/>
        <v>0</v>
      </c>
      <c r="AK145">
        <f t="shared" si="113"/>
        <v>0</v>
      </c>
      <c r="AL145">
        <f t="shared" si="114"/>
        <v>0</v>
      </c>
      <c r="AM145">
        <f t="shared" si="115"/>
        <v>0</v>
      </c>
      <c r="AO145">
        <f t="shared" si="116"/>
        <v>0</v>
      </c>
      <c r="AP145">
        <f t="shared" si="117"/>
        <v>0</v>
      </c>
      <c r="AQ145">
        <f t="shared" si="118"/>
        <v>0</v>
      </c>
      <c r="AR145">
        <f t="shared" si="119"/>
        <v>0</v>
      </c>
    </row>
    <row r="146" spans="2:44" x14ac:dyDescent="0.25">
      <c r="B146" s="121" t="s">
        <v>554</v>
      </c>
      <c r="C146" t="s">
        <v>555</v>
      </c>
      <c r="E146" t="s">
        <v>370</v>
      </c>
      <c r="F146">
        <f t="shared" si="104"/>
        <v>0</v>
      </c>
      <c r="G146">
        <f>IF(F146&gt;0,0,1)</f>
        <v>1</v>
      </c>
      <c r="H146" t="s">
        <v>575</v>
      </c>
      <c r="I146">
        <v>6</v>
      </c>
      <c r="K146" t="s">
        <v>108</v>
      </c>
      <c r="L146" t="s">
        <v>55</v>
      </c>
      <c r="M146" s="5">
        <v>0</v>
      </c>
      <c r="N146" s="4" t="s">
        <v>36</v>
      </c>
      <c r="P146" s="86">
        <v>1141</v>
      </c>
      <c r="Q146" s="1">
        <f>ROUND((P146*0.4),0)</f>
        <v>456</v>
      </c>
      <c r="R146">
        <f>IF(P146&gt;0,((P146+500)-Q146)+U146,0)+228</f>
        <v>1477</v>
      </c>
      <c r="S146" s="6" t="s">
        <v>556</v>
      </c>
      <c r="T146" s="61">
        <v>1</v>
      </c>
      <c r="U146" s="61">
        <f>IF(V146=$AE$2,47,IF(V146=$AE$1,ROUND(((P146+500)*0.039),0),IF(V146=$AE$3,0)))</f>
        <v>64</v>
      </c>
      <c r="V146" s="7" t="str">
        <f t="shared" si="105"/>
        <v>PAYPAL</v>
      </c>
      <c r="W146" s="56">
        <v>2</v>
      </c>
      <c r="X146" s="5" t="s">
        <v>25</v>
      </c>
      <c r="Y146" s="61">
        <f t="shared" si="106"/>
        <v>1933</v>
      </c>
      <c r="Z146" s="61"/>
      <c r="AA146" s="1">
        <f t="shared" si="107"/>
        <v>0</v>
      </c>
      <c r="AB146" s="1">
        <f t="shared" si="108"/>
        <v>130</v>
      </c>
      <c r="AC146" s="1"/>
      <c r="AD146" s="65">
        <f t="shared" si="109"/>
        <v>1075</v>
      </c>
      <c r="AE146" s="1"/>
      <c r="AF146" s="1">
        <f t="shared" si="110"/>
        <v>30</v>
      </c>
      <c r="AG146" s="1">
        <f>IF(AH146&gt;0,AH49:AH146,0)</f>
        <v>1045</v>
      </c>
      <c r="AH146" s="1">
        <f>AD146-AF146</f>
        <v>1045</v>
      </c>
      <c r="AJ146">
        <f>IF(T146=1,P146-U146,0)</f>
        <v>1077</v>
      </c>
      <c r="AK146">
        <f>IF(T146=2,P146-U146,0)</f>
        <v>0</v>
      </c>
      <c r="AL146">
        <f>IF(T146=3,P146-U146,0)</f>
        <v>0</v>
      </c>
      <c r="AM146">
        <f>IF(T146=4,P146-U146,0)</f>
        <v>0</v>
      </c>
      <c r="AO146">
        <f>IF(T146=1,P146-U146,0)</f>
        <v>1077</v>
      </c>
      <c r="AP146">
        <f>IF(T146=2,P146-U146,0)</f>
        <v>0</v>
      </c>
      <c r="AQ146">
        <f>IF(T146=3,P146-U146,0)</f>
        <v>0</v>
      </c>
      <c r="AR146">
        <f>IF(T146=4,P146-U146,0)</f>
        <v>0</v>
      </c>
    </row>
    <row r="147" spans="2:44" x14ac:dyDescent="0.25">
      <c r="B147" s="121" t="s">
        <v>600</v>
      </c>
      <c r="C147" t="s">
        <v>601</v>
      </c>
      <c r="E147" t="s">
        <v>370</v>
      </c>
      <c r="F147">
        <f t="shared" si="104"/>
        <v>0</v>
      </c>
      <c r="G147">
        <f>IF(F147&gt;0,0,1)</f>
        <v>1</v>
      </c>
      <c r="H147" t="s">
        <v>421</v>
      </c>
      <c r="I147">
        <v>7</v>
      </c>
      <c r="K147" t="s">
        <v>184</v>
      </c>
      <c r="L147" t="s">
        <v>55</v>
      </c>
      <c r="M147" s="5">
        <v>0</v>
      </c>
      <c r="N147" s="4" t="s">
        <v>36</v>
      </c>
      <c r="P147" s="86">
        <v>1768</v>
      </c>
      <c r="Q147" s="1">
        <f>ROUND((P147*0.4),0)</f>
        <v>707</v>
      </c>
      <c r="R147">
        <f>IF(P147&gt;0,((P147+500)-Q147)+U147,0)</f>
        <v>1649</v>
      </c>
      <c r="S147" s="6" t="s">
        <v>602</v>
      </c>
      <c r="T147" s="61">
        <v>1</v>
      </c>
      <c r="U147" s="61">
        <f>IF(V147=$AE$2,47,IF(V147=$AE$1,ROUND(((P147+500)*0.039),0),IF(V147=$AE$3,0)))</f>
        <v>88</v>
      </c>
      <c r="V147" s="7" t="str">
        <f t="shared" si="105"/>
        <v>PAYPAL</v>
      </c>
      <c r="W147" s="56">
        <v>2</v>
      </c>
      <c r="X147" s="5" t="s">
        <v>162</v>
      </c>
      <c r="Y147" s="61">
        <f t="shared" si="106"/>
        <v>2356</v>
      </c>
      <c r="Z147" s="61"/>
      <c r="AA147" s="1">
        <f t="shared" si="107"/>
        <v>0</v>
      </c>
      <c r="AB147" s="1">
        <f t="shared" si="108"/>
        <v>130</v>
      </c>
      <c r="AC147" s="1"/>
      <c r="AD147" s="65">
        <f t="shared" si="109"/>
        <v>1726</v>
      </c>
      <c r="AE147" s="1"/>
      <c r="AF147" s="1">
        <f t="shared" si="110"/>
        <v>30</v>
      </c>
      <c r="AG147" s="1">
        <f>IF(AH147&gt;0,AH82:AH149,0)</f>
        <v>1696</v>
      </c>
      <c r="AH147" s="1">
        <f>AD147-AF147</f>
        <v>1696</v>
      </c>
      <c r="AJ147">
        <f>IF(T147=1,P147-U147,0)</f>
        <v>1680</v>
      </c>
      <c r="AK147">
        <f>IF(T147=2,P147-U147,0)</f>
        <v>0</v>
      </c>
      <c r="AL147">
        <f>IF(T147=3,P147-U147,0)</f>
        <v>0</v>
      </c>
      <c r="AM147">
        <f>IF(T147=4,P147-U147,0)</f>
        <v>0</v>
      </c>
      <c r="AO147">
        <f>IF(T147=1,P147-U147,0)</f>
        <v>1680</v>
      </c>
      <c r="AP147">
        <f>IF(T147=2,P147-U147,0)</f>
        <v>0</v>
      </c>
      <c r="AQ147">
        <f>IF(T147=3,P147-U147,0)</f>
        <v>0</v>
      </c>
      <c r="AR147">
        <f>IF(T147=4,P147-U147,0)</f>
        <v>0</v>
      </c>
    </row>
    <row r="148" spans="2:44" hidden="1" x14ac:dyDescent="0.25">
      <c r="B148" s="120" t="s">
        <v>420</v>
      </c>
      <c r="C148" t="s">
        <v>419</v>
      </c>
      <c r="E148" t="s">
        <v>30</v>
      </c>
      <c r="F148">
        <f t="shared" si="104"/>
        <v>0</v>
      </c>
      <c r="G148">
        <f>IF(F148&gt;0,0,1)</f>
        <v>1</v>
      </c>
      <c r="H148" s="96" t="s">
        <v>421</v>
      </c>
      <c r="I148">
        <v>7</v>
      </c>
      <c r="K148" s="96" t="s">
        <v>599</v>
      </c>
      <c r="L148" t="s">
        <v>55</v>
      </c>
      <c r="M148" s="5">
        <v>0</v>
      </c>
      <c r="N148" s="4" t="s">
        <v>36</v>
      </c>
      <c r="P148" s="86"/>
      <c r="Q148" s="1"/>
      <c r="R148">
        <f>IF(P148&gt;0,((P148+500)-Q148)+U148,0)</f>
        <v>0</v>
      </c>
      <c r="S148" s="6"/>
      <c r="T148" s="61">
        <v>1</v>
      </c>
      <c r="U148" s="61">
        <f>IF(V148=$AE$2,47,IF(V148=$AE$1,ROUND(((P148+500)*0.039),0),IF(V148=$AE$3,0)))</f>
        <v>0</v>
      </c>
      <c r="V148" s="7" t="str">
        <f t="shared" si="105"/>
        <v>NONE</v>
      </c>
      <c r="W148" s="56"/>
      <c r="X148" s="5"/>
      <c r="Y148" s="61">
        <f t="shared" si="106"/>
        <v>0</v>
      </c>
      <c r="Z148" s="61"/>
      <c r="AA148" s="1">
        <f t="shared" si="107"/>
        <v>0</v>
      </c>
      <c r="AB148" s="1">
        <f t="shared" si="108"/>
        <v>130</v>
      </c>
      <c r="AC148" s="1"/>
      <c r="AD148" s="65">
        <f t="shared" si="109"/>
        <v>-130</v>
      </c>
      <c r="AE148" s="1"/>
      <c r="AF148" s="1">
        <f t="shared" si="110"/>
        <v>30</v>
      </c>
      <c r="AG148" s="1">
        <f>IF(AH148&gt;0,AH83:AH150,0)</f>
        <v>0</v>
      </c>
      <c r="AH148" s="1">
        <f>AD148-AF148</f>
        <v>-160</v>
      </c>
      <c r="AJ148">
        <f>IF(T148=1,P148-U148,0)</f>
        <v>0</v>
      </c>
      <c r="AK148">
        <f>IF(T148=2,P148-U148,0)</f>
        <v>0</v>
      </c>
      <c r="AL148">
        <f>IF(T148=3,P148-U148,0)</f>
        <v>0</v>
      </c>
      <c r="AM148">
        <f>IF(T148=4,P148-U148,0)</f>
        <v>0</v>
      </c>
      <c r="AO148">
        <f>IF(T148=1,P148-U148,0)</f>
        <v>0</v>
      </c>
      <c r="AP148">
        <f>IF(T148=2,P148-U148,0)</f>
        <v>0</v>
      </c>
      <c r="AQ148">
        <f>IF(T148=3,P148-U148,0)</f>
        <v>0</v>
      </c>
      <c r="AR148">
        <f>IF(T148=4,P148-U148,0)</f>
        <v>0</v>
      </c>
    </row>
    <row r="149" spans="2:44" x14ac:dyDescent="0.25">
      <c r="B149" s="120" t="s">
        <v>496</v>
      </c>
      <c r="C149" t="s">
        <v>497</v>
      </c>
      <c r="E149" t="s">
        <v>61</v>
      </c>
      <c r="F149">
        <f t="shared" si="104"/>
        <v>0</v>
      </c>
      <c r="G149">
        <f>IF(F149&gt;0,0,1)</f>
        <v>1</v>
      </c>
      <c r="H149" t="s">
        <v>498</v>
      </c>
      <c r="I149">
        <v>7</v>
      </c>
      <c r="K149" t="s">
        <v>499</v>
      </c>
      <c r="L149" t="s">
        <v>55</v>
      </c>
      <c r="M149" s="5">
        <v>0</v>
      </c>
      <c r="N149" s="4" t="s">
        <v>36</v>
      </c>
      <c r="P149" s="86">
        <v>1540</v>
      </c>
      <c r="Q149" s="1">
        <f>ROUND((P149*0.4),0)</f>
        <v>616</v>
      </c>
      <c r="R149">
        <f>IF(P149&gt;0,((P149+500)-Q149)+U149,0)</f>
        <v>1504</v>
      </c>
      <c r="S149" s="153" t="s">
        <v>595</v>
      </c>
      <c r="T149" s="61">
        <v>1</v>
      </c>
      <c r="U149" s="61">
        <f>IF(V149=$AE$2,47,IF(V149=$AE$1,ROUND(((P149+500)*0.039),0),IF(V149=$AE$3,0)))</f>
        <v>80</v>
      </c>
      <c r="V149" s="7" t="str">
        <f t="shared" si="105"/>
        <v>PAYPAL</v>
      </c>
      <c r="W149" s="56">
        <v>2</v>
      </c>
      <c r="X149" s="5" t="s">
        <v>652</v>
      </c>
      <c r="Y149" s="61">
        <f t="shared" si="106"/>
        <v>2120</v>
      </c>
      <c r="Z149" s="61"/>
      <c r="AA149" s="1">
        <f t="shared" si="107"/>
        <v>0</v>
      </c>
      <c r="AB149" s="1">
        <f t="shared" si="108"/>
        <v>130</v>
      </c>
      <c r="AC149" s="1"/>
      <c r="AD149" s="65">
        <f t="shared" si="109"/>
        <v>1490</v>
      </c>
      <c r="AE149" s="1"/>
      <c r="AF149" s="1">
        <f t="shared" si="110"/>
        <v>30</v>
      </c>
      <c r="AG149" s="1">
        <f>IF(AH149&gt;0,AH77:AH149,0)</f>
        <v>1460</v>
      </c>
      <c r="AH149" s="1">
        <f>AD149-AF149</f>
        <v>1460</v>
      </c>
      <c r="AJ149">
        <f>IF(T149=1,P149-U149,0)</f>
        <v>1460</v>
      </c>
      <c r="AK149">
        <f>IF(T149=2,P149-U149,0)</f>
        <v>0</v>
      </c>
      <c r="AL149">
        <f>IF(T149=3,P149-U149,0)</f>
        <v>0</v>
      </c>
      <c r="AM149">
        <f>IF(T149=4,P149-U149,0)</f>
        <v>0</v>
      </c>
      <c r="AO149">
        <f>IF(T149=1,P149-U149,0)</f>
        <v>1460</v>
      </c>
      <c r="AP149">
        <f>IF(T149=2,P149-U149,0)</f>
        <v>0</v>
      </c>
      <c r="AQ149">
        <f>IF(T149=3,P149-U149,0)</f>
        <v>0</v>
      </c>
      <c r="AR149">
        <f>IF(T149=4,P149-U149,0)</f>
        <v>0</v>
      </c>
    </row>
    <row r="150" spans="2:44" x14ac:dyDescent="0.25">
      <c r="B150" s="82" t="s">
        <v>536</v>
      </c>
      <c r="C150" s="8" t="s">
        <v>42</v>
      </c>
      <c r="D150" s="8"/>
      <c r="E150" t="s">
        <v>42</v>
      </c>
      <c r="F150">
        <f t="shared" ref="F150:F157" si="121">IF(E150=$B$12,I150,0)</f>
        <v>2</v>
      </c>
      <c r="G150">
        <f t="shared" si="120"/>
        <v>0</v>
      </c>
      <c r="H150" s="83" t="s">
        <v>535</v>
      </c>
      <c r="I150">
        <v>2</v>
      </c>
      <c r="K150" t="s">
        <v>63</v>
      </c>
      <c r="L150" t="s">
        <v>55</v>
      </c>
      <c r="M150" s="5">
        <v>3</v>
      </c>
      <c r="N150" s="4" t="s">
        <v>36</v>
      </c>
      <c r="P150" s="86">
        <v>0</v>
      </c>
      <c r="Q150" s="1">
        <f t="shared" ref="Q150:Q157" si="122">ROUND((P150*0.4),0)</f>
        <v>0</v>
      </c>
      <c r="R150">
        <f t="shared" ref="R150:R157" si="123">IF(P150&gt;0,((P150+500)-Q150)+U150,0)</f>
        <v>0</v>
      </c>
      <c r="S150" s="6"/>
      <c r="T150" s="61">
        <v>1</v>
      </c>
      <c r="U150" s="61">
        <f t="shared" ref="U150:U157" si="124">IF(V150=$AE$2,47,IF(V150=$AE$1,ROUND(((P150+500)*0.039),0),IF(V150=$AE$3,0)))</f>
        <v>0</v>
      </c>
      <c r="V150" s="7" t="str">
        <f t="shared" ref="V150:V157" si="125">IF(W150=1,$AE$2,IF(W150=2,$AE$1,IF(AND(W150&lt;&gt;1,W150&lt;&gt;20)=TRUE,$AE$3)))</f>
        <v>NONE</v>
      </c>
      <c r="W150" s="56"/>
      <c r="X150" s="5"/>
      <c r="Y150" s="61">
        <f t="shared" ref="Y150:Y157" si="126">R150+Q150</f>
        <v>0</v>
      </c>
      <c r="Z150" s="61"/>
      <c r="AA150" s="1">
        <f t="shared" ref="AA150:AA157" si="127">IF(X150=$AA$1,R150-500,0)</f>
        <v>0</v>
      </c>
      <c r="AB150" s="1">
        <f t="shared" ref="AB150:AB157" si="128">IF(I150&gt;0,130,0)</f>
        <v>130</v>
      </c>
      <c r="AC150" s="1"/>
      <c r="AD150" s="65">
        <f t="shared" ref="AD150:AD157" si="129">(P150+U150)-AB150</f>
        <v>-130</v>
      </c>
      <c r="AE150" s="1"/>
      <c r="AF150" s="1">
        <f t="shared" ref="AF150:AF157" si="130">IF(I150&gt;0,30*G150,0)</f>
        <v>0</v>
      </c>
      <c r="AG150" s="1">
        <f>IF(AH150&gt;0,AH79:AH150,0)</f>
        <v>0</v>
      </c>
      <c r="AH150" s="1">
        <f t="shared" si="111"/>
        <v>-130</v>
      </c>
      <c r="AJ150">
        <f t="shared" si="112"/>
        <v>0</v>
      </c>
      <c r="AK150">
        <f t="shared" si="113"/>
        <v>0</v>
      </c>
      <c r="AL150">
        <f t="shared" si="114"/>
        <v>0</v>
      </c>
      <c r="AM150">
        <f t="shared" si="115"/>
        <v>0</v>
      </c>
      <c r="AO150">
        <f t="shared" si="116"/>
        <v>0</v>
      </c>
      <c r="AP150">
        <f t="shared" si="117"/>
        <v>0</v>
      </c>
      <c r="AQ150">
        <f t="shared" si="118"/>
        <v>0</v>
      </c>
      <c r="AR150">
        <f t="shared" si="119"/>
        <v>0</v>
      </c>
    </row>
    <row r="151" spans="2:44" x14ac:dyDescent="0.25">
      <c r="B151" s="121" t="s">
        <v>539</v>
      </c>
      <c r="C151" t="s">
        <v>540</v>
      </c>
      <c r="E151" t="s">
        <v>30</v>
      </c>
      <c r="F151">
        <f>IF(E151=$B$12,I151,0)</f>
        <v>0</v>
      </c>
      <c r="G151">
        <f>IF(F151&gt;0,0,1)</f>
        <v>1</v>
      </c>
      <c r="H151" t="s">
        <v>541</v>
      </c>
      <c r="I151">
        <v>13</v>
      </c>
      <c r="K151" t="s">
        <v>103</v>
      </c>
      <c r="L151" t="s">
        <v>55</v>
      </c>
      <c r="M151" s="5">
        <v>3</v>
      </c>
      <c r="N151" s="4" t="s">
        <v>36</v>
      </c>
      <c r="P151" s="86">
        <v>2903</v>
      </c>
      <c r="Q151" s="1">
        <f>ROUND((P151*0.4),0)</f>
        <v>1161</v>
      </c>
      <c r="R151">
        <f>IF(P151&gt;0,((P151+500)-Q151)+U151,0)</f>
        <v>2375</v>
      </c>
      <c r="S151" s="6" t="s">
        <v>543</v>
      </c>
      <c r="T151" s="61">
        <v>1</v>
      </c>
      <c r="U151" s="61">
        <f>IF(V151=$AE$2,47,IF(V151=$AE$1,ROUND(((P151+500)*0.039),0),IF(V151=$AE$3,0)))</f>
        <v>133</v>
      </c>
      <c r="V151" s="7" t="str">
        <f>IF(W151=1,$AE$2,IF(W151=2,$AE$1,IF(AND(W151&lt;&gt;1,W151&lt;&gt;20)=TRUE,$AE$3)))</f>
        <v>PAYPAL</v>
      </c>
      <c r="W151" s="56">
        <v>2</v>
      </c>
      <c r="X151" s="5" t="s">
        <v>656</v>
      </c>
      <c r="Y151" s="61">
        <f>R151+Q151</f>
        <v>3536</v>
      </c>
      <c r="Z151" s="61"/>
      <c r="AA151" s="1">
        <f>IF(X151=$AA$1,R151-500,0)</f>
        <v>0</v>
      </c>
      <c r="AB151" s="1">
        <f>IF(I151&gt;0,130,0)</f>
        <v>130</v>
      </c>
      <c r="AC151" s="1"/>
      <c r="AD151" s="65">
        <f>(P151+U151)-AB151</f>
        <v>2906</v>
      </c>
      <c r="AE151" s="1"/>
      <c r="AF151" s="1">
        <f>IF(I151&gt;0,30*G151,0)</f>
        <v>30</v>
      </c>
      <c r="AG151" s="1">
        <f>IF(AH151&gt;0,AH80:AH151,0)</f>
        <v>2876</v>
      </c>
      <c r="AH151" s="1">
        <f>AD151-AF151</f>
        <v>2876</v>
      </c>
      <c r="AJ151">
        <f>IF(T151=1,P151-U151,0)</f>
        <v>2770</v>
      </c>
      <c r="AK151">
        <f>IF(T151=2,P151-U151,0)</f>
        <v>0</v>
      </c>
      <c r="AL151">
        <f>IF(T151=3,P151-U151,0)</f>
        <v>0</v>
      </c>
      <c r="AM151">
        <f>IF(T151=4,P151-U151,0)</f>
        <v>0</v>
      </c>
      <c r="AO151">
        <f>IF(T151=1,P151-U151,0)</f>
        <v>2770</v>
      </c>
      <c r="AP151">
        <f>IF(T151=2,P151-U151,0)</f>
        <v>0</v>
      </c>
      <c r="AQ151">
        <f>IF(T151=3,P151-U151,0)</f>
        <v>0</v>
      </c>
      <c r="AR151">
        <f>IF(T151=4,P151-U151,0)</f>
        <v>0</v>
      </c>
    </row>
    <row r="152" spans="2:44" ht="23.25" x14ac:dyDescent="0.35">
      <c r="B152" t="s">
        <v>542</v>
      </c>
      <c r="C152" t="s">
        <v>60</v>
      </c>
      <c r="E152" t="s">
        <v>61</v>
      </c>
      <c r="F152">
        <f t="shared" si="121"/>
        <v>0</v>
      </c>
      <c r="G152">
        <f t="shared" si="120"/>
        <v>1</v>
      </c>
      <c r="H152" t="s">
        <v>411</v>
      </c>
      <c r="I152">
        <v>14</v>
      </c>
      <c r="K152" t="s">
        <v>538</v>
      </c>
      <c r="L152" t="s">
        <v>55</v>
      </c>
      <c r="M152" s="5">
        <v>3</v>
      </c>
      <c r="N152" s="4" t="s">
        <v>36</v>
      </c>
      <c r="P152" s="86">
        <v>2993</v>
      </c>
      <c r="Q152" s="133">
        <f t="shared" si="122"/>
        <v>1197</v>
      </c>
      <c r="R152" s="121">
        <f t="shared" si="123"/>
        <v>2343</v>
      </c>
      <c r="S152" s="156" t="s">
        <v>582</v>
      </c>
      <c r="T152" s="61">
        <v>2</v>
      </c>
      <c r="U152" s="61">
        <f t="shared" si="124"/>
        <v>47</v>
      </c>
      <c r="V152" s="7" t="str">
        <f t="shared" si="125"/>
        <v>BANK</v>
      </c>
      <c r="W152" s="56">
        <v>1</v>
      </c>
      <c r="X152" s="5" t="s">
        <v>162</v>
      </c>
      <c r="Y152" s="61">
        <f>R152+Q152-500</f>
        <v>3040</v>
      </c>
      <c r="Z152" s="61"/>
      <c r="AA152" s="1">
        <f t="shared" si="127"/>
        <v>0</v>
      </c>
      <c r="AB152" s="1">
        <f t="shared" si="128"/>
        <v>130</v>
      </c>
      <c r="AC152" s="1"/>
      <c r="AD152" s="65">
        <f t="shared" si="129"/>
        <v>2910</v>
      </c>
      <c r="AE152" s="1"/>
      <c r="AF152" s="1">
        <f t="shared" si="130"/>
        <v>30</v>
      </c>
      <c r="AG152" s="1">
        <f>IF(AH152&gt;0,AH80:AH152,0)</f>
        <v>2880</v>
      </c>
      <c r="AH152" s="1">
        <f t="shared" si="111"/>
        <v>2880</v>
      </c>
      <c r="AJ152">
        <f t="shared" si="112"/>
        <v>0</v>
      </c>
      <c r="AK152">
        <f t="shared" si="113"/>
        <v>2946</v>
      </c>
      <c r="AL152">
        <f t="shared" si="114"/>
        <v>0</v>
      </c>
      <c r="AM152">
        <f t="shared" si="115"/>
        <v>0</v>
      </c>
      <c r="AO152">
        <f t="shared" si="116"/>
        <v>0</v>
      </c>
      <c r="AP152">
        <f t="shared" si="117"/>
        <v>2946</v>
      </c>
      <c r="AQ152">
        <f t="shared" si="118"/>
        <v>0</v>
      </c>
      <c r="AR152">
        <f t="shared" si="119"/>
        <v>0</v>
      </c>
    </row>
    <row r="153" spans="2:44" x14ac:dyDescent="0.25">
      <c r="B153" s="82" t="s">
        <v>537</v>
      </c>
      <c r="C153" s="8" t="s">
        <v>438</v>
      </c>
      <c r="D153" s="8"/>
      <c r="E153" t="s">
        <v>42</v>
      </c>
      <c r="F153">
        <f t="shared" si="121"/>
        <v>3</v>
      </c>
      <c r="G153">
        <f t="shared" si="120"/>
        <v>0</v>
      </c>
      <c r="H153" s="83" t="s">
        <v>638</v>
      </c>
      <c r="I153">
        <v>3</v>
      </c>
      <c r="K153" t="s">
        <v>63</v>
      </c>
      <c r="L153" t="s">
        <v>55</v>
      </c>
      <c r="M153" s="5">
        <v>3</v>
      </c>
      <c r="N153" s="4" t="s">
        <v>36</v>
      </c>
      <c r="P153" s="86">
        <v>0</v>
      </c>
      <c r="Q153" s="1">
        <f t="shared" si="122"/>
        <v>0</v>
      </c>
      <c r="R153">
        <f t="shared" si="123"/>
        <v>0</v>
      </c>
      <c r="S153" s="6"/>
      <c r="T153" s="61">
        <v>2</v>
      </c>
      <c r="U153" s="61">
        <f t="shared" si="124"/>
        <v>0</v>
      </c>
      <c r="V153" s="7" t="str">
        <f t="shared" si="125"/>
        <v>NONE</v>
      </c>
      <c r="W153" s="56"/>
      <c r="X153" s="5"/>
      <c r="Y153" s="61">
        <f t="shared" si="126"/>
        <v>0</v>
      </c>
      <c r="Z153" s="61"/>
      <c r="AA153" s="1">
        <f t="shared" si="127"/>
        <v>0</v>
      </c>
      <c r="AB153" s="1">
        <f t="shared" si="128"/>
        <v>130</v>
      </c>
      <c r="AC153" s="1"/>
      <c r="AD153" s="65">
        <f t="shared" si="129"/>
        <v>-130</v>
      </c>
      <c r="AE153" s="1"/>
      <c r="AF153" s="1">
        <f t="shared" si="130"/>
        <v>0</v>
      </c>
      <c r="AG153" s="1">
        <f>IF(AH153&gt;0,AH81:AH153,0)</f>
        <v>0</v>
      </c>
      <c r="AH153" s="1">
        <f t="shared" si="111"/>
        <v>-130</v>
      </c>
      <c r="AJ153">
        <f t="shared" si="112"/>
        <v>0</v>
      </c>
      <c r="AK153">
        <f t="shared" si="113"/>
        <v>0</v>
      </c>
      <c r="AL153">
        <f t="shared" si="114"/>
        <v>0</v>
      </c>
      <c r="AM153">
        <f t="shared" si="115"/>
        <v>0</v>
      </c>
      <c r="AO153">
        <f t="shared" si="116"/>
        <v>0</v>
      </c>
      <c r="AP153">
        <f t="shared" si="117"/>
        <v>0</v>
      </c>
      <c r="AQ153">
        <f t="shared" si="118"/>
        <v>0</v>
      </c>
      <c r="AR153">
        <f t="shared" si="119"/>
        <v>0</v>
      </c>
    </row>
    <row r="154" spans="2:44" x14ac:dyDescent="0.25">
      <c r="B154" t="s">
        <v>636</v>
      </c>
      <c r="C154" t="s">
        <v>635</v>
      </c>
      <c r="E154" t="s">
        <v>370</v>
      </c>
      <c r="F154">
        <f t="shared" si="121"/>
        <v>0</v>
      </c>
      <c r="G154">
        <f t="shared" si="120"/>
        <v>1</v>
      </c>
      <c r="H154" t="s">
        <v>634</v>
      </c>
      <c r="I154">
        <v>6</v>
      </c>
      <c r="K154" t="s">
        <v>637</v>
      </c>
      <c r="L154" t="s">
        <v>55</v>
      </c>
      <c r="M154" s="5">
        <v>0</v>
      </c>
      <c r="N154" s="4" t="s">
        <v>36</v>
      </c>
      <c r="P154" s="86">
        <v>1747</v>
      </c>
      <c r="Q154" s="125">
        <f t="shared" si="122"/>
        <v>699</v>
      </c>
      <c r="R154">
        <f t="shared" si="123"/>
        <v>1636</v>
      </c>
      <c r="S154" s="6" t="s">
        <v>156</v>
      </c>
      <c r="T154" s="61">
        <v>2</v>
      </c>
      <c r="U154" s="61">
        <f t="shared" si="124"/>
        <v>88</v>
      </c>
      <c r="V154" s="7" t="str">
        <f t="shared" si="125"/>
        <v>PAYPAL</v>
      </c>
      <c r="W154" s="56">
        <v>2</v>
      </c>
      <c r="X154" s="5" t="s">
        <v>664</v>
      </c>
      <c r="Y154" s="61">
        <f t="shared" si="126"/>
        <v>2335</v>
      </c>
      <c r="Z154" s="61"/>
      <c r="AA154" s="1">
        <f t="shared" si="127"/>
        <v>0</v>
      </c>
      <c r="AB154" s="1">
        <f t="shared" si="128"/>
        <v>130</v>
      </c>
      <c r="AC154" s="1"/>
      <c r="AD154" s="65">
        <f t="shared" si="129"/>
        <v>1705</v>
      </c>
      <c r="AE154" s="1"/>
      <c r="AF154" s="1">
        <f t="shared" si="130"/>
        <v>30</v>
      </c>
      <c r="AG154" s="1">
        <f>IF(AH154&gt;0,AH63:AH154,0)</f>
        <v>1675</v>
      </c>
      <c r="AH154" s="1">
        <f t="shared" si="111"/>
        <v>1675</v>
      </c>
      <c r="AJ154">
        <f t="shared" si="112"/>
        <v>0</v>
      </c>
      <c r="AK154">
        <f t="shared" si="113"/>
        <v>1659</v>
      </c>
      <c r="AL154">
        <f t="shared" si="114"/>
        <v>0</v>
      </c>
      <c r="AM154">
        <f t="shared" si="115"/>
        <v>0</v>
      </c>
      <c r="AO154">
        <f t="shared" si="116"/>
        <v>0</v>
      </c>
      <c r="AP154">
        <f t="shared" si="117"/>
        <v>1659</v>
      </c>
      <c r="AQ154">
        <f t="shared" si="118"/>
        <v>0</v>
      </c>
      <c r="AR154">
        <f t="shared" si="119"/>
        <v>0</v>
      </c>
    </row>
    <row r="155" spans="2:44" x14ac:dyDescent="0.25">
      <c r="B155" s="121" t="s">
        <v>548</v>
      </c>
      <c r="C155" t="s">
        <v>549</v>
      </c>
      <c r="E155" t="s">
        <v>30</v>
      </c>
      <c r="F155">
        <f>IF(E155=$B$12,I155,0)</f>
        <v>0</v>
      </c>
      <c r="G155">
        <f>IF(F155&gt;0,0,1)</f>
        <v>1</v>
      </c>
      <c r="H155" t="s">
        <v>550</v>
      </c>
      <c r="I155">
        <v>18</v>
      </c>
      <c r="K155" t="s">
        <v>80</v>
      </c>
      <c r="L155" t="s">
        <v>55</v>
      </c>
      <c r="M155" s="5">
        <v>0</v>
      </c>
      <c r="N155" s="4" t="s">
        <v>36</v>
      </c>
      <c r="P155" s="86">
        <v>3659</v>
      </c>
      <c r="Q155" s="1">
        <f>ROUND((P155*0.4),0)</f>
        <v>1464</v>
      </c>
      <c r="R155">
        <f>IF(P155&gt;0,((P155+500)-Q155)+U155,0)</f>
        <v>2857</v>
      </c>
      <c r="S155" s="6" t="s">
        <v>551</v>
      </c>
      <c r="T155" s="61">
        <v>2</v>
      </c>
      <c r="U155" s="61">
        <f>IF(V155=$AE$2,47,IF(V155=$AE$1,ROUND(((P155+500)*0.039),0),IF(V155=$AE$3,0)))</f>
        <v>162</v>
      </c>
      <c r="V155" s="7" t="str">
        <f>IF(W155=1,$AE$2,IF(W155=2,$AE$1,IF(AND(W155&lt;&gt;1,W155&lt;&gt;20)=TRUE,$AE$3)))</f>
        <v>PAYPAL</v>
      </c>
      <c r="W155" s="56">
        <v>2</v>
      </c>
      <c r="X155" s="5" t="s">
        <v>25</v>
      </c>
      <c r="Y155" s="61">
        <f>R155+Q155</f>
        <v>4321</v>
      </c>
      <c r="Z155" s="61"/>
      <c r="AA155" s="1">
        <f>IF(X155=$AA$1,R155-500,0)</f>
        <v>0</v>
      </c>
      <c r="AB155" s="1">
        <f>IF(I155&gt;0,130,0)</f>
        <v>130</v>
      </c>
      <c r="AC155" s="1"/>
      <c r="AD155" s="65">
        <f>(P155+U155)-AB155</f>
        <v>3691</v>
      </c>
      <c r="AE155" s="1"/>
      <c r="AF155" s="1">
        <f>IF(I155&gt;0,30*G155,0)</f>
        <v>30</v>
      </c>
      <c r="AG155" s="1">
        <f>IF(AH155&gt;0,AH56:AH155,0)</f>
        <v>3661</v>
      </c>
      <c r="AH155" s="1">
        <f>AD155-AF155</f>
        <v>3661</v>
      </c>
      <c r="AJ155">
        <f>IF(T155=1,P155-U155,0)</f>
        <v>0</v>
      </c>
      <c r="AK155">
        <f>IF(T155=2,P155-U155,0)</f>
        <v>3497</v>
      </c>
      <c r="AL155">
        <f>IF(T155=3,P155-U155,0)</f>
        <v>0</v>
      </c>
      <c r="AM155">
        <f>IF(T155=4,P155-U155,0)</f>
        <v>0</v>
      </c>
      <c r="AO155">
        <f>IF(T155=1,P155-U155,0)</f>
        <v>0</v>
      </c>
      <c r="AP155">
        <f>IF(T155=2,P155-U155,0)</f>
        <v>3497</v>
      </c>
      <c r="AQ155">
        <f>IF(T155=3,P155-U155,0)</f>
        <v>0</v>
      </c>
      <c r="AR155">
        <f>IF(T155=4,P155-U155,0)</f>
        <v>0</v>
      </c>
    </row>
    <row r="156" spans="2:44" x14ac:dyDescent="0.25">
      <c r="B156" s="8" t="s">
        <v>544</v>
      </c>
      <c r="C156" t="s">
        <v>545</v>
      </c>
      <c r="E156" t="s">
        <v>30</v>
      </c>
      <c r="F156">
        <f>IF(E156=$B$12,I156,0)</f>
        <v>0</v>
      </c>
      <c r="G156">
        <f>IF(F156&gt;0,0,1)</f>
        <v>1</v>
      </c>
      <c r="H156" t="s">
        <v>546</v>
      </c>
      <c r="I156">
        <v>7</v>
      </c>
      <c r="K156" t="s">
        <v>570</v>
      </c>
      <c r="L156" t="s">
        <v>55</v>
      </c>
      <c r="M156" s="5">
        <v>0</v>
      </c>
      <c r="N156" s="4" t="s">
        <v>36</v>
      </c>
      <c r="P156" s="86">
        <v>1540</v>
      </c>
      <c r="Q156" s="1">
        <f>ROUND((P156*0.4),0)</f>
        <v>616</v>
      </c>
      <c r="R156">
        <f>IF(P156&gt;0,((P156+500)-Q156)+U156,0)</f>
        <v>1504</v>
      </c>
      <c r="S156" s="6" t="s">
        <v>547</v>
      </c>
      <c r="T156" s="61">
        <v>2</v>
      </c>
      <c r="U156" s="61">
        <f>IF(V156=$AE$2,47,IF(V156=$AE$1,ROUND(((P156+500)*0.039),0),IF(V156=$AE$3,0)))</f>
        <v>80</v>
      </c>
      <c r="V156" s="7" t="str">
        <f>IF(W156=1,$AE$2,IF(W156=2,$AE$1,IF(AND(W156&lt;&gt;1,W156&lt;&gt;20)=TRUE,$AE$3)))</f>
        <v>PAYPAL</v>
      </c>
      <c r="W156" s="56">
        <v>2</v>
      </c>
      <c r="X156" s="5" t="s">
        <v>25</v>
      </c>
      <c r="Y156" s="61">
        <f>R156+Q156</f>
        <v>2120</v>
      </c>
      <c r="Z156" s="61"/>
      <c r="AA156" s="1">
        <f>IF(X156=$AA$1,R156-500,0)</f>
        <v>0</v>
      </c>
      <c r="AB156" s="1">
        <f>IF(I156&gt;0,130,0)</f>
        <v>130</v>
      </c>
      <c r="AC156" s="1"/>
      <c r="AD156" s="65">
        <f>(P156+U156)-AB156</f>
        <v>1490</v>
      </c>
      <c r="AE156" s="1"/>
      <c r="AF156" s="1">
        <f>IF(I156&gt;0,30*G156,0)</f>
        <v>30</v>
      </c>
      <c r="AG156" s="1">
        <f>IF(AH156&gt;0,AH58:AH157,0)</f>
        <v>1460</v>
      </c>
      <c r="AH156" s="1">
        <f>AD156-AF156</f>
        <v>1460</v>
      </c>
      <c r="AJ156">
        <f>IF(T156=1,P156-U156,0)</f>
        <v>0</v>
      </c>
      <c r="AK156">
        <f>IF(T156=2,P156-U156,0)</f>
        <v>1460</v>
      </c>
      <c r="AL156">
        <f>IF(T156=3,P156-U156,0)</f>
        <v>0</v>
      </c>
      <c r="AM156">
        <f>IF(T156=4,P156-U156,0)</f>
        <v>0</v>
      </c>
      <c r="AO156">
        <f>IF(T156=1,P156-U156,0)</f>
        <v>0</v>
      </c>
      <c r="AP156">
        <f>IF(T156=2,P156-U156,0)</f>
        <v>1460</v>
      </c>
      <c r="AQ156">
        <f>IF(T156=3,P156-U156,0)</f>
        <v>0</v>
      </c>
      <c r="AR156">
        <f>IF(T156=4,P156-U156,0)</f>
        <v>0</v>
      </c>
    </row>
    <row r="157" spans="2:44" ht="13.15" customHeight="1" x14ac:dyDescent="0.25">
      <c r="B157" s="82" t="s">
        <v>82</v>
      </c>
      <c r="C157" s="8" t="s">
        <v>438</v>
      </c>
      <c r="D157" s="8"/>
      <c r="E157" t="s">
        <v>42</v>
      </c>
      <c r="F157">
        <f t="shared" si="121"/>
        <v>3</v>
      </c>
      <c r="G157">
        <f t="shared" si="120"/>
        <v>0</v>
      </c>
      <c r="H157" s="83" t="s">
        <v>597</v>
      </c>
      <c r="I157">
        <v>3</v>
      </c>
      <c r="K157" t="s">
        <v>63</v>
      </c>
      <c r="L157" t="s">
        <v>55</v>
      </c>
      <c r="M157" s="5">
        <v>3</v>
      </c>
      <c r="N157" s="4" t="s">
        <v>36</v>
      </c>
      <c r="P157" s="86">
        <v>0</v>
      </c>
      <c r="Q157" s="1">
        <f t="shared" si="122"/>
        <v>0</v>
      </c>
      <c r="R157">
        <f t="shared" si="123"/>
        <v>0</v>
      </c>
      <c r="S157" s="6"/>
      <c r="T157" s="61">
        <v>2</v>
      </c>
      <c r="U157" s="61">
        <f t="shared" si="124"/>
        <v>0</v>
      </c>
      <c r="V157" s="7" t="str">
        <f t="shared" si="125"/>
        <v>NONE</v>
      </c>
      <c r="W157" s="56"/>
      <c r="X157" s="5"/>
      <c r="Y157" s="61">
        <f t="shared" si="126"/>
        <v>0</v>
      </c>
      <c r="Z157" s="61"/>
      <c r="AA157" s="1">
        <f t="shared" si="127"/>
        <v>0</v>
      </c>
      <c r="AB157" s="1">
        <f t="shared" si="128"/>
        <v>130</v>
      </c>
      <c r="AC157" s="1"/>
      <c r="AD157" s="65">
        <f t="shared" si="129"/>
        <v>-130</v>
      </c>
      <c r="AE157" s="1"/>
      <c r="AF157" s="1">
        <f t="shared" si="130"/>
        <v>0</v>
      </c>
      <c r="AG157" s="1">
        <f>IF(AH157&gt;0,AH82:AH157,0)</f>
        <v>0</v>
      </c>
      <c r="AH157" s="1">
        <f t="shared" si="111"/>
        <v>-130</v>
      </c>
      <c r="AJ157">
        <f t="shared" si="112"/>
        <v>0</v>
      </c>
      <c r="AK157">
        <f t="shared" si="113"/>
        <v>0</v>
      </c>
      <c r="AL157">
        <f t="shared" si="114"/>
        <v>0</v>
      </c>
      <c r="AM157">
        <f t="shared" si="115"/>
        <v>0</v>
      </c>
      <c r="AO157">
        <f t="shared" si="116"/>
        <v>0</v>
      </c>
      <c r="AP157">
        <f t="shared" si="117"/>
        <v>0</v>
      </c>
      <c r="AQ157">
        <f t="shared" si="118"/>
        <v>0</v>
      </c>
      <c r="AR157">
        <f t="shared" si="119"/>
        <v>0</v>
      </c>
    </row>
    <row r="158" spans="2:44" x14ac:dyDescent="0.25">
      <c r="B158" s="120" t="s">
        <v>568</v>
      </c>
      <c r="C158" t="s">
        <v>426</v>
      </c>
      <c r="E158" t="s">
        <v>370</v>
      </c>
      <c r="F158" s="27">
        <f t="shared" ref="F158:F164" si="131">IF(E158=$B$12,I158,0)</f>
        <v>0</v>
      </c>
      <c r="G158" s="27">
        <f t="shared" ref="G158:G183" si="132">IF(F158&gt;0,0,1)</f>
        <v>1</v>
      </c>
      <c r="H158" t="s">
        <v>567</v>
      </c>
      <c r="I158">
        <v>9</v>
      </c>
      <c r="K158" t="s">
        <v>565</v>
      </c>
      <c r="L158" t="s">
        <v>55</v>
      </c>
      <c r="M158" s="5">
        <v>0</v>
      </c>
      <c r="N158" s="4" t="s">
        <v>36</v>
      </c>
      <c r="P158" s="86">
        <v>1653</v>
      </c>
      <c r="Q158" s="1">
        <f t="shared" ref="Q158:Q164" si="133">ROUND((P158*0.4),0)</f>
        <v>661</v>
      </c>
      <c r="R158">
        <f t="shared" ref="R158:R183" si="134">IF(P158&gt;0,((P158+500)-Q158)+U158,0)</f>
        <v>1576</v>
      </c>
      <c r="S158" s="6" t="s">
        <v>566</v>
      </c>
      <c r="T158" s="61">
        <v>2</v>
      </c>
      <c r="U158" s="61">
        <f t="shared" ref="U158:U171" si="135">IF(V158=$AE$2,47,IF(V158=$AE$1,ROUND(((P158+500)*0.039),0),IF(V158=$AE$3,0)))</f>
        <v>84</v>
      </c>
      <c r="V158" s="7" t="str">
        <f t="shared" ref="V158:V164" si="136">IF(W158=1,$AE$2,IF(W158=2,$AE$1,IF(AND(W158&lt;&gt;1,W158&lt;&gt;20)=TRUE,$AE$3)))</f>
        <v>PAYPAL</v>
      </c>
      <c r="W158" s="56">
        <v>2</v>
      </c>
      <c r="X158" s="5" t="s">
        <v>675</v>
      </c>
      <c r="Y158" s="61">
        <f t="shared" ref="Y158:Y183" si="137">R158+Q158</f>
        <v>2237</v>
      </c>
      <c r="Z158" s="61"/>
      <c r="AA158" s="1">
        <f t="shared" ref="AA158:AA183" si="138">IF(X158=$AA$1,R158-500,0)</f>
        <v>0</v>
      </c>
      <c r="AB158" s="1">
        <f t="shared" ref="AB158:AB183" si="139">IF(I158&gt;0,130,0)</f>
        <v>130</v>
      </c>
      <c r="AC158" s="1"/>
      <c r="AD158" s="65">
        <f t="shared" ref="AD158:AD183" si="140">(P158+U158)-AB158</f>
        <v>1607</v>
      </c>
      <c r="AE158" s="1"/>
      <c r="AF158" s="1">
        <f t="shared" ref="AF158:AF183" si="141">IF(I158&gt;0,30*G158,0)</f>
        <v>30</v>
      </c>
      <c r="AG158" s="1">
        <f>IF(AH158&gt;0,AH57:AH158,0)</f>
        <v>1577</v>
      </c>
      <c r="AH158" s="1">
        <f t="shared" ref="AH158:AH183" si="142">AD158-AF158</f>
        <v>1577</v>
      </c>
      <c r="AJ158">
        <f t="shared" ref="AJ158:AJ183" si="143">IF(T158=1,P158-U158,0)</f>
        <v>0</v>
      </c>
      <c r="AK158">
        <f t="shared" ref="AK158:AK183" si="144">IF(T158=2,P158-U158,0)</f>
        <v>1569</v>
      </c>
      <c r="AL158">
        <f t="shared" ref="AL158:AL183" si="145">IF(T158=3,P158-U158,0)</f>
        <v>0</v>
      </c>
      <c r="AM158">
        <f t="shared" ref="AM158:AM183" si="146">IF(T158=4,P158-U158,0)</f>
        <v>0</v>
      </c>
      <c r="AO158">
        <f t="shared" ref="AO158:AO183" si="147">IF(T158=1,P158-U158,0)</f>
        <v>0</v>
      </c>
      <c r="AP158">
        <f t="shared" ref="AP158:AP183" si="148">IF(T158=2,P158-U158,0)</f>
        <v>1569</v>
      </c>
      <c r="AQ158">
        <f t="shared" ref="AQ158:AQ183" si="149">IF(T158=3,P158-U158,0)</f>
        <v>0</v>
      </c>
      <c r="AR158">
        <f t="shared" ref="AR158:AR183" si="150">IF(T158=4,P158-U158,0)</f>
        <v>0</v>
      </c>
    </row>
    <row r="159" spans="2:44" x14ac:dyDescent="0.25">
      <c r="B159" s="8" t="s">
        <v>560</v>
      </c>
      <c r="C159" t="s">
        <v>561</v>
      </c>
      <c r="E159" t="s">
        <v>370</v>
      </c>
      <c r="F159">
        <f t="shared" si="131"/>
        <v>0</v>
      </c>
      <c r="G159">
        <f t="shared" si="132"/>
        <v>1</v>
      </c>
      <c r="H159" t="s">
        <v>562</v>
      </c>
      <c r="I159">
        <v>7</v>
      </c>
      <c r="K159" t="s">
        <v>563</v>
      </c>
      <c r="L159" t="s">
        <v>55</v>
      </c>
      <c r="M159" s="5">
        <v>0</v>
      </c>
      <c r="N159" s="4" t="s">
        <v>36</v>
      </c>
      <c r="P159" s="86">
        <v>1364</v>
      </c>
      <c r="Q159" s="1">
        <f t="shared" si="133"/>
        <v>546</v>
      </c>
      <c r="R159">
        <f t="shared" si="134"/>
        <v>1391</v>
      </c>
      <c r="S159" s="6" t="s">
        <v>564</v>
      </c>
      <c r="T159" s="61"/>
      <c r="U159" s="61">
        <f t="shared" si="135"/>
        <v>73</v>
      </c>
      <c r="V159" s="7" t="str">
        <f t="shared" si="136"/>
        <v>PAYPAL</v>
      </c>
      <c r="W159" s="56">
        <v>2</v>
      </c>
      <c r="X159" s="5" t="s">
        <v>559</v>
      </c>
      <c r="Y159" s="61">
        <f t="shared" si="137"/>
        <v>1937</v>
      </c>
      <c r="Z159" s="61"/>
      <c r="AA159" s="1">
        <f t="shared" si="138"/>
        <v>0</v>
      </c>
      <c r="AB159" s="1">
        <f t="shared" si="139"/>
        <v>130</v>
      </c>
      <c r="AC159" s="1"/>
      <c r="AD159" s="65">
        <f t="shared" si="140"/>
        <v>1307</v>
      </c>
      <c r="AE159" s="1"/>
      <c r="AF159" s="1">
        <f t="shared" si="141"/>
        <v>30</v>
      </c>
      <c r="AG159" s="1">
        <f>IF(AH159&gt;0,AH58:AH159,0)</f>
        <v>1277</v>
      </c>
      <c r="AH159" s="1">
        <f t="shared" si="142"/>
        <v>1277</v>
      </c>
      <c r="AJ159">
        <f t="shared" si="143"/>
        <v>0</v>
      </c>
      <c r="AK159">
        <f t="shared" si="144"/>
        <v>0</v>
      </c>
      <c r="AL159">
        <f t="shared" si="145"/>
        <v>0</v>
      </c>
      <c r="AM159">
        <f t="shared" si="146"/>
        <v>0</v>
      </c>
      <c r="AO159">
        <f t="shared" si="147"/>
        <v>0</v>
      </c>
      <c r="AP159">
        <f t="shared" si="148"/>
        <v>0</v>
      </c>
      <c r="AQ159">
        <f t="shared" si="149"/>
        <v>0</v>
      </c>
      <c r="AR159">
        <f t="shared" si="150"/>
        <v>0</v>
      </c>
    </row>
    <row r="160" spans="2:44" x14ac:dyDescent="0.25">
      <c r="B160" s="8" t="s">
        <v>571</v>
      </c>
      <c r="C160" t="s">
        <v>572</v>
      </c>
      <c r="E160" t="s">
        <v>370</v>
      </c>
      <c r="F160">
        <f t="shared" si="131"/>
        <v>0</v>
      </c>
      <c r="G160">
        <f t="shared" si="132"/>
        <v>1</v>
      </c>
      <c r="H160" t="s">
        <v>573</v>
      </c>
      <c r="I160">
        <v>6</v>
      </c>
      <c r="K160" t="s">
        <v>103</v>
      </c>
      <c r="L160" t="s">
        <v>55</v>
      </c>
      <c r="M160" s="5">
        <v>0</v>
      </c>
      <c r="N160" s="4" t="s">
        <v>36</v>
      </c>
      <c r="P160" s="86">
        <v>1190</v>
      </c>
      <c r="Q160" s="1">
        <f t="shared" si="133"/>
        <v>476</v>
      </c>
      <c r="R160">
        <f t="shared" si="134"/>
        <v>1280</v>
      </c>
      <c r="S160" s="6" t="s">
        <v>564</v>
      </c>
      <c r="T160" s="61">
        <v>2</v>
      </c>
      <c r="U160" s="61">
        <f t="shared" si="135"/>
        <v>66</v>
      </c>
      <c r="V160" s="7" t="str">
        <f t="shared" si="136"/>
        <v>PAYPAL</v>
      </c>
      <c r="W160" s="56">
        <v>2</v>
      </c>
      <c r="X160" s="5" t="s">
        <v>683</v>
      </c>
      <c r="Y160" s="61">
        <f t="shared" si="137"/>
        <v>1756</v>
      </c>
      <c r="Z160" s="61"/>
      <c r="AA160" s="1">
        <f t="shared" si="138"/>
        <v>0</v>
      </c>
      <c r="AB160" s="1">
        <f t="shared" si="139"/>
        <v>130</v>
      </c>
      <c r="AC160" s="1"/>
      <c r="AD160" s="65">
        <f t="shared" si="140"/>
        <v>1126</v>
      </c>
      <c r="AE160" s="1"/>
      <c r="AF160" s="1">
        <f t="shared" si="141"/>
        <v>30</v>
      </c>
      <c r="AG160" s="1">
        <f>IF(AH160&gt;0,AH58:AH160,0)</f>
        <v>1096</v>
      </c>
      <c r="AH160" s="1">
        <f t="shared" si="142"/>
        <v>1096</v>
      </c>
      <c r="AJ160">
        <f t="shared" si="143"/>
        <v>0</v>
      </c>
      <c r="AK160">
        <f t="shared" si="144"/>
        <v>1124</v>
      </c>
      <c r="AL160">
        <f t="shared" si="145"/>
        <v>0</v>
      </c>
      <c r="AM160">
        <f t="shared" si="146"/>
        <v>0</v>
      </c>
      <c r="AO160">
        <f t="shared" si="147"/>
        <v>0</v>
      </c>
      <c r="AP160">
        <f t="shared" si="148"/>
        <v>1124</v>
      </c>
      <c r="AQ160">
        <f t="shared" si="149"/>
        <v>0</v>
      </c>
      <c r="AR160">
        <f t="shared" si="150"/>
        <v>0</v>
      </c>
    </row>
    <row r="161" spans="2:44" ht="18.75" x14ac:dyDescent="0.3">
      <c r="B161" s="82" t="s">
        <v>82</v>
      </c>
      <c r="C161" s="8" t="s">
        <v>438</v>
      </c>
      <c r="D161" s="8"/>
      <c r="E161" t="s">
        <v>42</v>
      </c>
      <c r="F161">
        <f t="shared" si="131"/>
        <v>3</v>
      </c>
      <c r="G161">
        <f t="shared" si="132"/>
        <v>0</v>
      </c>
      <c r="H161" s="83" t="s">
        <v>598</v>
      </c>
      <c r="I161">
        <v>3</v>
      </c>
      <c r="K161" t="s">
        <v>63</v>
      </c>
      <c r="L161" t="s">
        <v>55</v>
      </c>
      <c r="M161" s="5">
        <v>3</v>
      </c>
      <c r="N161" s="4" t="s">
        <v>36</v>
      </c>
      <c r="P161" s="86">
        <v>0</v>
      </c>
      <c r="Q161" s="1">
        <f t="shared" si="133"/>
        <v>0</v>
      </c>
      <c r="R161">
        <f t="shared" si="134"/>
        <v>0</v>
      </c>
      <c r="S161" s="6"/>
      <c r="T161" s="61">
        <v>2</v>
      </c>
      <c r="U161" s="61">
        <f t="shared" si="135"/>
        <v>0</v>
      </c>
      <c r="V161" s="7" t="str">
        <f t="shared" si="136"/>
        <v>NONE</v>
      </c>
      <c r="W161" s="56"/>
      <c r="X161" s="5"/>
      <c r="Y161" s="61">
        <f t="shared" si="137"/>
        <v>0</v>
      </c>
      <c r="Z161" s="61"/>
      <c r="AA161" s="1">
        <f t="shared" si="138"/>
        <v>0</v>
      </c>
      <c r="AB161" s="1">
        <f t="shared" si="139"/>
        <v>130</v>
      </c>
      <c r="AC161" s="1"/>
      <c r="AD161" s="65">
        <f t="shared" si="140"/>
        <v>-130</v>
      </c>
      <c r="AE161" s="1"/>
      <c r="AF161" s="1">
        <f t="shared" si="141"/>
        <v>0</v>
      </c>
      <c r="AG161" s="1">
        <f>IF(AH161&gt;0,AH83:AH161,0)</f>
        <v>0</v>
      </c>
      <c r="AH161" s="1">
        <f t="shared" si="142"/>
        <v>-130</v>
      </c>
      <c r="AJ161">
        <f t="shared" si="143"/>
        <v>0</v>
      </c>
      <c r="AK161">
        <f t="shared" si="144"/>
        <v>0</v>
      </c>
      <c r="AL161">
        <f t="shared" si="145"/>
        <v>0</v>
      </c>
      <c r="AM161">
        <f t="shared" si="146"/>
        <v>0</v>
      </c>
      <c r="AO161">
        <f t="shared" si="147"/>
        <v>0</v>
      </c>
      <c r="AP161">
        <f t="shared" si="148"/>
        <v>0</v>
      </c>
      <c r="AQ161">
        <f t="shared" si="149"/>
        <v>0</v>
      </c>
      <c r="AR161">
        <f t="shared" si="150"/>
        <v>0</v>
      </c>
    </row>
    <row r="162" spans="2:44" x14ac:dyDescent="0.25">
      <c r="B162" s="8" t="s">
        <v>603</v>
      </c>
      <c r="C162" t="s">
        <v>687</v>
      </c>
      <c r="E162" t="s">
        <v>30</v>
      </c>
      <c r="F162">
        <f t="shared" si="131"/>
        <v>0</v>
      </c>
      <c r="G162">
        <f t="shared" si="132"/>
        <v>1</v>
      </c>
      <c r="H162" t="s">
        <v>605</v>
      </c>
      <c r="I162">
        <v>10</v>
      </c>
      <c r="K162" t="s">
        <v>604</v>
      </c>
      <c r="L162" t="s">
        <v>55</v>
      </c>
      <c r="M162" s="5">
        <v>0</v>
      </c>
      <c r="N162" s="4" t="s">
        <v>36</v>
      </c>
      <c r="P162" s="86">
        <v>2335</v>
      </c>
      <c r="Q162" s="1">
        <f t="shared" si="133"/>
        <v>934</v>
      </c>
      <c r="R162">
        <f t="shared" si="134"/>
        <v>2012</v>
      </c>
      <c r="S162" s="6" t="s">
        <v>606</v>
      </c>
      <c r="T162" s="61">
        <v>2</v>
      </c>
      <c r="U162" s="61">
        <f t="shared" si="135"/>
        <v>111</v>
      </c>
      <c r="V162" s="7" t="str">
        <f t="shared" si="136"/>
        <v>PAYPAL</v>
      </c>
      <c r="W162" s="56">
        <v>2</v>
      </c>
      <c r="X162" s="5" t="s">
        <v>684</v>
      </c>
      <c r="Y162" s="61">
        <f t="shared" si="137"/>
        <v>2946</v>
      </c>
      <c r="Z162" s="61"/>
      <c r="AA162" s="1">
        <f t="shared" si="138"/>
        <v>0</v>
      </c>
      <c r="AB162" s="1">
        <f t="shared" si="139"/>
        <v>130</v>
      </c>
      <c r="AC162" s="1"/>
      <c r="AD162" s="65">
        <f t="shared" si="140"/>
        <v>2316</v>
      </c>
      <c r="AE162" s="1"/>
      <c r="AF162" s="1">
        <f t="shared" si="141"/>
        <v>30</v>
      </c>
      <c r="AG162" s="1">
        <f>IF(AH162&gt;0,AH60:AH162,0)</f>
        <v>2286</v>
      </c>
      <c r="AH162" s="1">
        <f t="shared" si="142"/>
        <v>2286</v>
      </c>
      <c r="AJ162">
        <f t="shared" si="143"/>
        <v>0</v>
      </c>
      <c r="AK162">
        <f t="shared" si="144"/>
        <v>2224</v>
      </c>
      <c r="AL162">
        <f t="shared" si="145"/>
        <v>0</v>
      </c>
      <c r="AM162">
        <f t="shared" si="146"/>
        <v>0</v>
      </c>
      <c r="AO162">
        <f t="shared" si="147"/>
        <v>0</v>
      </c>
      <c r="AP162">
        <f t="shared" si="148"/>
        <v>2224</v>
      </c>
      <c r="AQ162">
        <f t="shared" si="149"/>
        <v>0</v>
      </c>
      <c r="AR162">
        <f t="shared" si="150"/>
        <v>0</v>
      </c>
    </row>
    <row r="163" spans="2:44" x14ac:dyDescent="0.25">
      <c r="B163" s="85" t="s">
        <v>689</v>
      </c>
      <c r="C163" t="s">
        <v>609</v>
      </c>
      <c r="E163" t="s">
        <v>616</v>
      </c>
      <c r="F163">
        <f t="shared" si="131"/>
        <v>0</v>
      </c>
      <c r="G163">
        <f t="shared" si="132"/>
        <v>1</v>
      </c>
      <c r="H163" t="s">
        <v>608</v>
      </c>
      <c r="I163">
        <v>10</v>
      </c>
      <c r="K163" t="s">
        <v>610</v>
      </c>
      <c r="L163" t="s">
        <v>55</v>
      </c>
      <c r="M163" s="5">
        <v>3</v>
      </c>
      <c r="N163" s="4" t="s">
        <v>36</v>
      </c>
      <c r="P163" s="86">
        <v>1692</v>
      </c>
      <c r="Q163" s="1">
        <f t="shared" si="133"/>
        <v>677</v>
      </c>
      <c r="R163">
        <f t="shared" si="134"/>
        <v>1600</v>
      </c>
      <c r="S163" s="6" t="s">
        <v>611</v>
      </c>
      <c r="T163" s="61">
        <v>3</v>
      </c>
      <c r="U163" s="61">
        <f t="shared" si="135"/>
        <v>85</v>
      </c>
      <c r="V163" s="7" t="str">
        <f t="shared" si="136"/>
        <v>PAYPAL</v>
      </c>
      <c r="W163" s="56">
        <v>2</v>
      </c>
      <c r="X163" s="5" t="s">
        <v>688</v>
      </c>
      <c r="Y163" s="61">
        <f t="shared" si="137"/>
        <v>2277</v>
      </c>
      <c r="Z163" s="61"/>
      <c r="AA163" s="1">
        <f t="shared" si="138"/>
        <v>0</v>
      </c>
      <c r="AB163" s="1">
        <f t="shared" si="139"/>
        <v>130</v>
      </c>
      <c r="AC163" s="1"/>
      <c r="AD163" s="65">
        <f t="shared" si="140"/>
        <v>1647</v>
      </c>
      <c r="AE163" s="1"/>
      <c r="AF163" s="1">
        <f t="shared" si="141"/>
        <v>30</v>
      </c>
      <c r="AG163" s="1">
        <f>IF(AH163&gt;0,AH83:AH182,0)</f>
        <v>1617</v>
      </c>
      <c r="AH163" s="1">
        <f t="shared" si="142"/>
        <v>1617</v>
      </c>
      <c r="AJ163">
        <f t="shared" si="143"/>
        <v>0</v>
      </c>
      <c r="AK163">
        <f t="shared" si="144"/>
        <v>0</v>
      </c>
      <c r="AL163">
        <f t="shared" si="145"/>
        <v>1607</v>
      </c>
      <c r="AM163">
        <f t="shared" si="146"/>
        <v>0</v>
      </c>
      <c r="AO163">
        <f t="shared" si="147"/>
        <v>0</v>
      </c>
      <c r="AP163">
        <f t="shared" si="148"/>
        <v>0</v>
      </c>
      <c r="AQ163">
        <f t="shared" si="149"/>
        <v>1607</v>
      </c>
      <c r="AR163">
        <f t="shared" si="150"/>
        <v>0</v>
      </c>
    </row>
    <row r="164" spans="2:44" x14ac:dyDescent="0.25">
      <c r="B164" s="82" t="s">
        <v>82</v>
      </c>
      <c r="C164" s="8" t="s">
        <v>438</v>
      </c>
      <c r="D164" s="8"/>
      <c r="E164" t="s">
        <v>42</v>
      </c>
      <c r="F164">
        <f t="shared" si="131"/>
        <v>21</v>
      </c>
      <c r="G164">
        <f t="shared" si="132"/>
        <v>0</v>
      </c>
      <c r="H164" s="83" t="s">
        <v>607</v>
      </c>
      <c r="I164">
        <v>21</v>
      </c>
      <c r="K164" t="s">
        <v>63</v>
      </c>
      <c r="L164" t="s">
        <v>55</v>
      </c>
      <c r="M164" s="5">
        <v>3</v>
      </c>
      <c r="N164" s="4" t="s">
        <v>36</v>
      </c>
      <c r="P164" s="86">
        <v>0</v>
      </c>
      <c r="Q164" s="1">
        <f t="shared" si="133"/>
        <v>0</v>
      </c>
      <c r="R164">
        <f t="shared" si="134"/>
        <v>0</v>
      </c>
      <c r="S164" s="6"/>
      <c r="T164" s="61"/>
      <c r="U164" s="61">
        <f t="shared" si="135"/>
        <v>0</v>
      </c>
      <c r="V164" s="7" t="str">
        <f t="shared" si="136"/>
        <v>NONE</v>
      </c>
      <c r="W164" s="56"/>
      <c r="X164" s="5"/>
      <c r="Y164" s="61">
        <f t="shared" si="137"/>
        <v>0</v>
      </c>
      <c r="Z164" s="61"/>
      <c r="AA164" s="1">
        <f t="shared" si="138"/>
        <v>0</v>
      </c>
      <c r="AB164" s="1">
        <f t="shared" si="139"/>
        <v>130</v>
      </c>
      <c r="AC164" s="1"/>
      <c r="AD164" s="65">
        <f t="shared" si="140"/>
        <v>-130</v>
      </c>
      <c r="AE164" s="1"/>
      <c r="AF164" s="1">
        <f t="shared" si="141"/>
        <v>0</v>
      </c>
      <c r="AG164" s="1">
        <f>IF(AH164&gt;0,AH84:AH164,0)</f>
        <v>0</v>
      </c>
      <c r="AH164" s="1">
        <f t="shared" si="142"/>
        <v>-130</v>
      </c>
      <c r="AJ164">
        <f t="shared" si="143"/>
        <v>0</v>
      </c>
      <c r="AK164">
        <f t="shared" si="144"/>
        <v>0</v>
      </c>
      <c r="AL164">
        <f t="shared" si="145"/>
        <v>0</v>
      </c>
      <c r="AM164">
        <f t="shared" si="146"/>
        <v>0</v>
      </c>
      <c r="AO164">
        <f t="shared" si="147"/>
        <v>0</v>
      </c>
      <c r="AP164">
        <f t="shared" si="148"/>
        <v>0</v>
      </c>
      <c r="AQ164">
        <f t="shared" si="149"/>
        <v>0</v>
      </c>
      <c r="AR164">
        <f t="shared" si="150"/>
        <v>0</v>
      </c>
    </row>
    <row r="165" spans="2:44" x14ac:dyDescent="0.25">
      <c r="B165" t="s">
        <v>441</v>
      </c>
      <c r="C165" t="s">
        <v>442</v>
      </c>
      <c r="E165" t="s">
        <v>443</v>
      </c>
      <c r="F165">
        <f t="shared" ref="F165:F183" si="151">IF(E165=$B$12,I165,0)</f>
        <v>0</v>
      </c>
      <c r="G165">
        <f t="shared" si="132"/>
        <v>1</v>
      </c>
      <c r="H165" t="s">
        <v>444</v>
      </c>
      <c r="I165">
        <v>7</v>
      </c>
      <c r="K165" t="s">
        <v>363</v>
      </c>
      <c r="L165" t="s">
        <v>55</v>
      </c>
      <c r="M165" s="5">
        <v>0</v>
      </c>
      <c r="N165" s="4" t="s">
        <v>36</v>
      </c>
      <c r="P165" s="86">
        <v>1495</v>
      </c>
      <c r="Q165" s="125">
        <f t="shared" ref="Q165:Q183" si="152">ROUND((P165*0.4),0)</f>
        <v>598</v>
      </c>
      <c r="R165">
        <f t="shared" si="134"/>
        <v>1475</v>
      </c>
      <c r="S165" s="6" t="s">
        <v>445</v>
      </c>
      <c r="T165" s="61">
        <v>3</v>
      </c>
      <c r="U165" s="61">
        <f t="shared" si="135"/>
        <v>78</v>
      </c>
      <c r="V165" s="7" t="str">
        <f t="shared" ref="V165:V183" si="153">IF(W165=1,$AE$2,IF(W165=2,$AE$1,IF(AND(W165&lt;&gt;1,W165&lt;&gt;20)=TRUE,$AE$3)))</f>
        <v>PAYPAL</v>
      </c>
      <c r="W165" s="56">
        <v>2</v>
      </c>
      <c r="X165" s="5" t="s">
        <v>656</v>
      </c>
      <c r="Y165" s="61">
        <f t="shared" si="137"/>
        <v>2073</v>
      </c>
      <c r="Z165" s="61"/>
      <c r="AA165" s="1">
        <f t="shared" si="138"/>
        <v>0</v>
      </c>
      <c r="AB165" s="1">
        <f t="shared" si="139"/>
        <v>130</v>
      </c>
      <c r="AC165" s="1"/>
      <c r="AD165" s="65">
        <f t="shared" si="140"/>
        <v>1443</v>
      </c>
      <c r="AE165" s="1"/>
      <c r="AF165" s="1">
        <f t="shared" si="141"/>
        <v>30</v>
      </c>
      <c r="AG165" s="1">
        <f>IF(AH165&gt;0,AH87:AH165,0)</f>
        <v>1413</v>
      </c>
      <c r="AH165" s="1">
        <f t="shared" si="142"/>
        <v>1413</v>
      </c>
      <c r="AJ165">
        <f t="shared" si="143"/>
        <v>0</v>
      </c>
      <c r="AK165">
        <f t="shared" si="144"/>
        <v>0</v>
      </c>
      <c r="AL165">
        <f t="shared" si="145"/>
        <v>1417</v>
      </c>
      <c r="AM165">
        <f t="shared" si="146"/>
        <v>0</v>
      </c>
      <c r="AO165">
        <f t="shared" si="147"/>
        <v>0</v>
      </c>
      <c r="AP165">
        <f t="shared" si="148"/>
        <v>0</v>
      </c>
      <c r="AQ165">
        <f t="shared" si="149"/>
        <v>1417</v>
      </c>
      <c r="AR165">
        <f t="shared" si="150"/>
        <v>0</v>
      </c>
    </row>
    <row r="166" spans="2:44" ht="15.75" x14ac:dyDescent="0.25">
      <c r="B166" s="160" t="s">
        <v>586</v>
      </c>
      <c r="C166" t="s">
        <v>587</v>
      </c>
      <c r="E166" t="s">
        <v>30</v>
      </c>
      <c r="F166">
        <f t="shared" si="151"/>
        <v>0</v>
      </c>
      <c r="G166">
        <f t="shared" si="132"/>
        <v>1</v>
      </c>
      <c r="H166" t="s">
        <v>588</v>
      </c>
      <c r="I166">
        <v>10</v>
      </c>
      <c r="K166" t="s">
        <v>166</v>
      </c>
      <c r="L166" t="s">
        <v>55</v>
      </c>
      <c r="M166" s="87">
        <v>0</v>
      </c>
      <c r="N166" s="4" t="s">
        <v>36</v>
      </c>
      <c r="P166" s="86">
        <v>2335</v>
      </c>
      <c r="Q166" s="1">
        <f t="shared" si="152"/>
        <v>934</v>
      </c>
      <c r="R166">
        <f t="shared" si="134"/>
        <v>2012</v>
      </c>
      <c r="S166" s="6" t="s">
        <v>589</v>
      </c>
      <c r="T166" s="61">
        <v>3</v>
      </c>
      <c r="U166" s="61">
        <f t="shared" si="135"/>
        <v>111</v>
      </c>
      <c r="V166" s="7" t="str">
        <f t="shared" si="153"/>
        <v>PAYPAL</v>
      </c>
      <c r="W166" s="56">
        <v>2</v>
      </c>
      <c r="X166" s="5" t="s">
        <v>559</v>
      </c>
      <c r="Y166" s="61">
        <f t="shared" si="137"/>
        <v>2946</v>
      </c>
      <c r="Z166" s="61"/>
      <c r="AA166" s="1">
        <f t="shared" si="138"/>
        <v>0</v>
      </c>
      <c r="AB166" s="1">
        <f t="shared" si="139"/>
        <v>130</v>
      </c>
      <c r="AC166" s="1"/>
      <c r="AD166" s="65">
        <f t="shared" si="140"/>
        <v>2316</v>
      </c>
      <c r="AE166" s="1"/>
      <c r="AF166" s="1">
        <f t="shared" si="141"/>
        <v>30</v>
      </c>
      <c r="AG166" s="1">
        <f>IF(AH166&gt;0,AH87:AH166,0)</f>
        <v>2286</v>
      </c>
      <c r="AH166" s="1">
        <f t="shared" si="142"/>
        <v>2286</v>
      </c>
      <c r="AJ166">
        <f t="shared" si="143"/>
        <v>0</v>
      </c>
      <c r="AK166">
        <f t="shared" si="144"/>
        <v>0</v>
      </c>
      <c r="AL166">
        <f t="shared" si="145"/>
        <v>2224</v>
      </c>
      <c r="AM166">
        <f t="shared" si="146"/>
        <v>0</v>
      </c>
      <c r="AO166">
        <f t="shared" si="147"/>
        <v>0</v>
      </c>
      <c r="AP166">
        <f t="shared" si="148"/>
        <v>0</v>
      </c>
      <c r="AQ166">
        <f t="shared" si="149"/>
        <v>2224</v>
      </c>
      <c r="AR166">
        <f t="shared" si="150"/>
        <v>0</v>
      </c>
    </row>
    <row r="167" spans="2:44" x14ac:dyDescent="0.25">
      <c r="B167" s="8" t="s">
        <v>622</v>
      </c>
      <c r="C167" t="s">
        <v>623</v>
      </c>
      <c r="E167" t="s">
        <v>89</v>
      </c>
      <c r="F167">
        <f>IF(E167=$B$12,I167,0)</f>
        <v>0</v>
      </c>
      <c r="G167">
        <f t="shared" si="132"/>
        <v>1</v>
      </c>
      <c r="H167" t="s">
        <v>624</v>
      </c>
      <c r="I167">
        <v>6</v>
      </c>
      <c r="K167" t="s">
        <v>35</v>
      </c>
      <c r="L167" t="s">
        <v>55</v>
      </c>
      <c r="M167" s="5">
        <v>0</v>
      </c>
      <c r="N167" s="4" t="s">
        <v>36</v>
      </c>
      <c r="P167" s="86">
        <v>1471</v>
      </c>
      <c r="Q167" s="1">
        <f>ROUND((P167*0.4),0)</f>
        <v>588</v>
      </c>
      <c r="R167">
        <f t="shared" si="134"/>
        <v>1460</v>
      </c>
      <c r="S167" s="6" t="s">
        <v>625</v>
      </c>
      <c r="T167" s="61"/>
      <c r="U167" s="61">
        <f t="shared" si="135"/>
        <v>77</v>
      </c>
      <c r="V167" s="7" t="str">
        <f>IF(W167=1,$AE$2,IF(W167=2,$AE$1,IF(AND(W167&lt;&gt;1,W167&lt;&gt;20)=TRUE,$AE$3)))</f>
        <v>PAYPAL</v>
      </c>
      <c r="W167" s="56">
        <v>2</v>
      </c>
      <c r="X167" s="5" t="s">
        <v>700</v>
      </c>
      <c r="Y167" s="61">
        <f t="shared" si="137"/>
        <v>2048</v>
      </c>
      <c r="Z167" s="61"/>
      <c r="AA167" s="1">
        <f t="shared" si="138"/>
        <v>0</v>
      </c>
      <c r="AB167" s="1">
        <f t="shared" si="139"/>
        <v>130</v>
      </c>
      <c r="AC167" s="1"/>
      <c r="AD167" s="65">
        <f t="shared" si="140"/>
        <v>1418</v>
      </c>
      <c r="AE167" s="1"/>
      <c r="AF167" s="1">
        <f t="shared" si="141"/>
        <v>30</v>
      </c>
      <c r="AG167" s="1">
        <f>IF(AH167&gt;0,AH58:AH167,0)</f>
        <v>1388</v>
      </c>
      <c r="AH167" s="1">
        <f t="shared" si="142"/>
        <v>1388</v>
      </c>
      <c r="AJ167">
        <f t="shared" si="143"/>
        <v>0</v>
      </c>
      <c r="AK167">
        <f t="shared" si="144"/>
        <v>0</v>
      </c>
      <c r="AL167">
        <f t="shared" si="145"/>
        <v>0</v>
      </c>
      <c r="AM167">
        <f t="shared" si="146"/>
        <v>0</v>
      </c>
      <c r="AO167">
        <f t="shared" si="147"/>
        <v>0</v>
      </c>
      <c r="AP167">
        <f t="shared" si="148"/>
        <v>0</v>
      </c>
      <c r="AQ167">
        <f t="shared" si="149"/>
        <v>0</v>
      </c>
      <c r="AR167">
        <f t="shared" si="150"/>
        <v>0</v>
      </c>
    </row>
    <row r="168" spans="2:44" x14ac:dyDescent="0.25">
      <c r="B168" s="82" t="s">
        <v>82</v>
      </c>
      <c r="C168" s="8" t="s">
        <v>438</v>
      </c>
      <c r="D168" s="8"/>
      <c r="E168" t="s">
        <v>42</v>
      </c>
      <c r="F168">
        <f t="shared" si="151"/>
        <v>4</v>
      </c>
      <c r="G168">
        <f t="shared" si="132"/>
        <v>0</v>
      </c>
      <c r="H168" s="83" t="s">
        <v>614</v>
      </c>
      <c r="I168">
        <v>4</v>
      </c>
      <c r="K168" t="s">
        <v>63</v>
      </c>
      <c r="L168" t="s">
        <v>55</v>
      </c>
      <c r="M168" s="5">
        <v>3</v>
      </c>
      <c r="N168" s="4" t="s">
        <v>36</v>
      </c>
      <c r="P168" s="86">
        <v>0</v>
      </c>
      <c r="Q168" s="1">
        <f t="shared" si="152"/>
        <v>0</v>
      </c>
      <c r="R168">
        <f t="shared" si="134"/>
        <v>0</v>
      </c>
      <c r="S168" s="6"/>
      <c r="T168" s="61"/>
      <c r="U168" s="61">
        <f t="shared" si="135"/>
        <v>0</v>
      </c>
      <c r="V168" s="7" t="str">
        <f t="shared" si="153"/>
        <v>NONE</v>
      </c>
      <c r="W168" s="56"/>
      <c r="X168" s="5"/>
      <c r="Y168" s="61">
        <f t="shared" si="137"/>
        <v>0</v>
      </c>
      <c r="Z168" s="61"/>
      <c r="AA168" s="1">
        <f t="shared" si="138"/>
        <v>0</v>
      </c>
      <c r="AB168" s="1">
        <f t="shared" si="139"/>
        <v>130</v>
      </c>
      <c r="AC168" s="1"/>
      <c r="AD168" s="65">
        <f t="shared" si="140"/>
        <v>-130</v>
      </c>
      <c r="AE168" s="1"/>
      <c r="AF168" s="1">
        <f t="shared" si="141"/>
        <v>0</v>
      </c>
      <c r="AG168" s="1">
        <f>IF(AH168&gt;0,AH87:AH168,0)</f>
        <v>0</v>
      </c>
      <c r="AH168" s="1">
        <f t="shared" si="142"/>
        <v>-130</v>
      </c>
      <c r="AJ168">
        <f t="shared" si="143"/>
        <v>0</v>
      </c>
      <c r="AK168">
        <f t="shared" si="144"/>
        <v>0</v>
      </c>
      <c r="AL168">
        <f t="shared" si="145"/>
        <v>0</v>
      </c>
      <c r="AM168">
        <f t="shared" si="146"/>
        <v>0</v>
      </c>
      <c r="AO168">
        <f t="shared" si="147"/>
        <v>0</v>
      </c>
      <c r="AP168">
        <f t="shared" si="148"/>
        <v>0</v>
      </c>
      <c r="AQ168">
        <f t="shared" si="149"/>
        <v>0</v>
      </c>
      <c r="AR168">
        <f t="shared" si="150"/>
        <v>0</v>
      </c>
    </row>
    <row r="169" spans="2:44" x14ac:dyDescent="0.25">
      <c r="B169" s="89" t="s">
        <v>653</v>
      </c>
      <c r="C169" t="s">
        <v>704</v>
      </c>
      <c r="E169" t="s">
        <v>30</v>
      </c>
      <c r="F169">
        <f t="shared" si="151"/>
        <v>0</v>
      </c>
      <c r="G169">
        <f t="shared" si="132"/>
        <v>1</v>
      </c>
      <c r="H169" t="s">
        <v>521</v>
      </c>
      <c r="I169">
        <v>8</v>
      </c>
      <c r="K169" t="s">
        <v>569</v>
      </c>
      <c r="L169" t="s">
        <v>55</v>
      </c>
      <c r="M169" s="5">
        <v>0</v>
      </c>
      <c r="N169" s="4" t="s">
        <v>36</v>
      </c>
      <c r="P169" s="86">
        <v>1433</v>
      </c>
      <c r="Q169" s="1">
        <f>ROUND((P169*0.4),0)</f>
        <v>573</v>
      </c>
      <c r="R169">
        <f t="shared" si="134"/>
        <v>1435</v>
      </c>
      <c r="S169" s="6" t="s">
        <v>522</v>
      </c>
      <c r="T169" s="61">
        <v>3</v>
      </c>
      <c r="U169" s="61">
        <f t="shared" si="135"/>
        <v>75</v>
      </c>
      <c r="V169" s="7" t="str">
        <f>IF(W169=1,$AE$2,IF(W169=2,$AE$1,IF(AND(W169&lt;&gt;1,W169&lt;&gt;20)=TRUE,$AE$3)))</f>
        <v>PAYPAL</v>
      </c>
      <c r="W169" s="56">
        <v>2</v>
      </c>
      <c r="X169" s="5" t="s">
        <v>162</v>
      </c>
      <c r="Y169" s="61">
        <f t="shared" si="137"/>
        <v>2008</v>
      </c>
      <c r="Z169" s="61"/>
      <c r="AA169" s="1">
        <f t="shared" si="138"/>
        <v>0</v>
      </c>
      <c r="AB169" s="1">
        <f t="shared" si="139"/>
        <v>130</v>
      </c>
      <c r="AC169" s="1"/>
      <c r="AD169" s="65">
        <f t="shared" si="140"/>
        <v>1378</v>
      </c>
      <c r="AE169" s="1"/>
      <c r="AF169" s="1">
        <f t="shared" si="141"/>
        <v>30</v>
      </c>
      <c r="AG169" s="1">
        <f>IF(AH169&gt;0,AH65:AH169,0)</f>
        <v>1348</v>
      </c>
      <c r="AH169" s="1">
        <f t="shared" si="142"/>
        <v>1348</v>
      </c>
      <c r="AJ169">
        <f t="shared" si="143"/>
        <v>0</v>
      </c>
      <c r="AK169">
        <f t="shared" si="144"/>
        <v>0</v>
      </c>
      <c r="AL169">
        <f t="shared" si="145"/>
        <v>1358</v>
      </c>
      <c r="AM169">
        <f t="shared" si="146"/>
        <v>0</v>
      </c>
      <c r="AO169">
        <f t="shared" si="147"/>
        <v>0</v>
      </c>
      <c r="AP169">
        <f t="shared" si="148"/>
        <v>0</v>
      </c>
      <c r="AQ169">
        <f t="shared" si="149"/>
        <v>1358</v>
      </c>
      <c r="AR169">
        <f t="shared" si="150"/>
        <v>0</v>
      </c>
    </row>
    <row r="170" spans="2:44" x14ac:dyDescent="0.25">
      <c r="B170" s="8" t="s">
        <v>680</v>
      </c>
      <c r="C170" s="8"/>
      <c r="D170" s="8"/>
      <c r="E170" t="s">
        <v>42</v>
      </c>
      <c r="F170">
        <f t="shared" si="151"/>
        <v>6</v>
      </c>
      <c r="G170">
        <f t="shared" si="132"/>
        <v>0</v>
      </c>
      <c r="H170" s="121" t="s">
        <v>681</v>
      </c>
      <c r="I170" s="8">
        <v>6</v>
      </c>
      <c r="K170" t="s">
        <v>682</v>
      </c>
      <c r="L170" t="s">
        <v>55</v>
      </c>
      <c r="M170" s="5">
        <v>0</v>
      </c>
      <c r="N170" s="4" t="s">
        <v>36</v>
      </c>
      <c r="P170" s="86">
        <v>0</v>
      </c>
      <c r="Q170" s="1">
        <f>ROUND((P170*0.4),0)</f>
        <v>0</v>
      </c>
      <c r="R170">
        <f t="shared" si="134"/>
        <v>0</v>
      </c>
      <c r="T170" s="61"/>
      <c r="U170" s="61">
        <f t="shared" si="135"/>
        <v>0</v>
      </c>
      <c r="V170" s="7" t="str">
        <f>IF(W170=1,$AE$2,IF(W170=2,$AE$1,IF(AND(W170&lt;&gt;1,W170&lt;&gt;20)=TRUE,$AE$3)))</f>
        <v>NONE</v>
      </c>
      <c r="W170" s="56"/>
      <c r="X170" s="5"/>
      <c r="Y170" s="61">
        <f t="shared" si="137"/>
        <v>0</v>
      </c>
      <c r="Z170" s="61"/>
      <c r="AA170" s="1">
        <f t="shared" si="138"/>
        <v>0</v>
      </c>
      <c r="AB170" s="1">
        <f t="shared" si="139"/>
        <v>130</v>
      </c>
      <c r="AC170" s="1"/>
      <c r="AD170" s="65">
        <f t="shared" si="140"/>
        <v>-130</v>
      </c>
      <c r="AE170" s="1"/>
      <c r="AF170" s="1">
        <f t="shared" si="141"/>
        <v>0</v>
      </c>
      <c r="AG170" s="1">
        <f>IF(AH170&gt;0,AH66:AH179,0)</f>
        <v>0</v>
      </c>
      <c r="AH170" s="1">
        <f t="shared" si="142"/>
        <v>-130</v>
      </c>
      <c r="AJ170">
        <f t="shared" si="143"/>
        <v>0</v>
      </c>
      <c r="AK170">
        <f t="shared" si="144"/>
        <v>0</v>
      </c>
      <c r="AL170">
        <f t="shared" si="145"/>
        <v>0</v>
      </c>
      <c r="AM170">
        <f t="shared" si="146"/>
        <v>0</v>
      </c>
      <c r="AO170">
        <f t="shared" si="147"/>
        <v>0</v>
      </c>
      <c r="AP170">
        <f t="shared" si="148"/>
        <v>0</v>
      </c>
      <c r="AQ170">
        <f t="shared" si="149"/>
        <v>0</v>
      </c>
      <c r="AR170">
        <f t="shared" si="150"/>
        <v>0</v>
      </c>
    </row>
    <row r="171" spans="2:44" x14ac:dyDescent="0.25">
      <c r="B171" s="82" t="s">
        <v>82</v>
      </c>
      <c r="C171" s="8" t="s">
        <v>438</v>
      </c>
      <c r="D171" s="8"/>
      <c r="E171" t="s">
        <v>42</v>
      </c>
      <c r="F171">
        <f t="shared" si="151"/>
        <v>4</v>
      </c>
      <c r="G171">
        <f t="shared" si="132"/>
        <v>0</v>
      </c>
      <c r="H171" s="83" t="s">
        <v>692</v>
      </c>
      <c r="I171">
        <v>4</v>
      </c>
      <c r="K171" t="s">
        <v>63</v>
      </c>
      <c r="L171" t="s">
        <v>55</v>
      </c>
      <c r="M171" s="5">
        <v>3</v>
      </c>
      <c r="N171" s="4" t="s">
        <v>36</v>
      </c>
      <c r="P171" s="86">
        <v>0</v>
      </c>
      <c r="Q171" s="1">
        <f t="shared" si="152"/>
        <v>0</v>
      </c>
      <c r="R171">
        <f t="shared" si="134"/>
        <v>0</v>
      </c>
      <c r="S171" s="6"/>
      <c r="T171" s="61">
        <v>3</v>
      </c>
      <c r="U171" s="61">
        <f t="shared" si="135"/>
        <v>0</v>
      </c>
      <c r="V171" s="7" t="str">
        <f t="shared" si="153"/>
        <v>NONE</v>
      </c>
      <c r="W171" s="56"/>
      <c r="X171" s="5"/>
      <c r="Y171" s="61">
        <f t="shared" si="137"/>
        <v>0</v>
      </c>
      <c r="Z171" s="61"/>
      <c r="AA171" s="1">
        <f t="shared" si="138"/>
        <v>0</v>
      </c>
      <c r="AB171" s="1">
        <f t="shared" si="139"/>
        <v>130</v>
      </c>
      <c r="AC171" s="1"/>
      <c r="AD171" s="65">
        <f t="shared" si="140"/>
        <v>-130</v>
      </c>
      <c r="AE171" s="1"/>
      <c r="AF171" s="1">
        <f t="shared" si="141"/>
        <v>0</v>
      </c>
      <c r="AG171" s="1">
        <f>IF(AH171&gt;0,AH88:AH171,0)</f>
        <v>0</v>
      </c>
      <c r="AH171" s="1">
        <f t="shared" si="142"/>
        <v>-130</v>
      </c>
      <c r="AJ171">
        <f t="shared" si="143"/>
        <v>0</v>
      </c>
      <c r="AK171">
        <f t="shared" si="144"/>
        <v>0</v>
      </c>
      <c r="AL171">
        <f t="shared" si="145"/>
        <v>0</v>
      </c>
      <c r="AM171">
        <f t="shared" si="146"/>
        <v>0</v>
      </c>
      <c r="AO171">
        <f t="shared" si="147"/>
        <v>0</v>
      </c>
      <c r="AP171">
        <f t="shared" si="148"/>
        <v>0</v>
      </c>
      <c r="AQ171">
        <f t="shared" si="149"/>
        <v>0</v>
      </c>
      <c r="AR171">
        <f t="shared" si="150"/>
        <v>0</v>
      </c>
    </row>
    <row r="172" spans="2:44" x14ac:dyDescent="0.25">
      <c r="B172" s="8" t="s">
        <v>662</v>
      </c>
      <c r="C172" t="s">
        <v>690</v>
      </c>
      <c r="F172">
        <f>IF(E172=$B$12,I172,0)</f>
        <v>0</v>
      </c>
      <c r="G172">
        <f t="shared" si="132"/>
        <v>1</v>
      </c>
      <c r="H172" s="121" t="s">
        <v>663</v>
      </c>
      <c r="I172" s="8">
        <v>11</v>
      </c>
      <c r="K172" t="s">
        <v>108</v>
      </c>
      <c r="L172" t="s">
        <v>55</v>
      </c>
      <c r="M172" s="5">
        <v>0</v>
      </c>
      <c r="N172" s="4" t="s">
        <v>36</v>
      </c>
      <c r="P172" s="86">
        <v>2245</v>
      </c>
      <c r="Q172" s="1">
        <f>ROUND((P172*0.4),0)</f>
        <v>898</v>
      </c>
      <c r="R172">
        <f t="shared" si="134"/>
        <v>1935</v>
      </c>
      <c r="S172" s="1" t="s">
        <v>691</v>
      </c>
      <c r="T172" s="61">
        <v>4</v>
      </c>
      <c r="U172" s="61">
        <v>88</v>
      </c>
      <c r="V172" s="7" t="str">
        <f>IF(W172=1,$AE$2,IF(W172=2,$AE$1,IF(AND(W172&lt;&gt;1,W172&lt;&gt;20)=TRUE,$AE$3)))</f>
        <v>PAYPAL</v>
      </c>
      <c r="W172" s="56">
        <v>2</v>
      </c>
      <c r="X172" s="5" t="s">
        <v>559</v>
      </c>
      <c r="Y172" s="61">
        <f t="shared" si="137"/>
        <v>2833</v>
      </c>
      <c r="Z172" s="61"/>
      <c r="AA172" s="1">
        <f t="shared" si="138"/>
        <v>0</v>
      </c>
      <c r="AB172" s="1">
        <f t="shared" si="139"/>
        <v>130</v>
      </c>
      <c r="AC172" s="1"/>
      <c r="AD172" s="65">
        <f t="shared" si="140"/>
        <v>2203</v>
      </c>
      <c r="AE172" s="1"/>
      <c r="AF172" s="1">
        <f t="shared" si="141"/>
        <v>30</v>
      </c>
      <c r="AG172" s="1">
        <f>IF(AH172&gt;0,AH100:AH217,0)</f>
        <v>2173</v>
      </c>
      <c r="AH172" s="1">
        <f t="shared" si="142"/>
        <v>2173</v>
      </c>
      <c r="AJ172">
        <f t="shared" si="143"/>
        <v>0</v>
      </c>
      <c r="AK172">
        <f t="shared" si="144"/>
        <v>0</v>
      </c>
      <c r="AL172">
        <f t="shared" si="145"/>
        <v>0</v>
      </c>
      <c r="AM172">
        <f t="shared" si="146"/>
        <v>2157</v>
      </c>
      <c r="AO172">
        <f t="shared" si="147"/>
        <v>0</v>
      </c>
      <c r="AP172">
        <f t="shared" si="148"/>
        <v>0</v>
      </c>
      <c r="AQ172">
        <f t="shared" si="149"/>
        <v>0</v>
      </c>
      <c r="AR172">
        <f t="shared" si="150"/>
        <v>2157</v>
      </c>
    </row>
    <row r="173" spans="2:44" x14ac:dyDescent="0.25">
      <c r="B173" s="82" t="s">
        <v>82</v>
      </c>
      <c r="C173" s="8" t="s">
        <v>438</v>
      </c>
      <c r="D173" s="8"/>
      <c r="E173" t="s">
        <v>42</v>
      </c>
      <c r="F173">
        <f t="shared" si="151"/>
        <v>3</v>
      </c>
      <c r="G173">
        <f t="shared" si="132"/>
        <v>0</v>
      </c>
      <c r="H173" s="83" t="s">
        <v>708</v>
      </c>
      <c r="I173">
        <v>3</v>
      </c>
      <c r="K173" t="s">
        <v>63</v>
      </c>
      <c r="L173" t="s">
        <v>55</v>
      </c>
      <c r="M173" s="5">
        <v>3</v>
      </c>
      <c r="N173" s="4" t="s">
        <v>36</v>
      </c>
      <c r="P173" s="86">
        <v>0</v>
      </c>
      <c r="Q173" s="1">
        <f t="shared" si="152"/>
        <v>0</v>
      </c>
      <c r="R173">
        <f t="shared" si="134"/>
        <v>0</v>
      </c>
      <c r="S173" s="6"/>
      <c r="T173" s="61">
        <v>4</v>
      </c>
      <c r="U173" s="61">
        <f t="shared" ref="U173:U183" si="154">IF(V173=$AE$2,47,IF(V173=$AE$1,ROUND(((P173+500)*0.039),0),IF(V173=$AE$3,0)))</f>
        <v>0</v>
      </c>
      <c r="V173" s="7" t="str">
        <f t="shared" si="153"/>
        <v>NONE</v>
      </c>
      <c r="W173" s="56"/>
      <c r="X173" s="5"/>
      <c r="Y173" s="61">
        <f t="shared" si="137"/>
        <v>0</v>
      </c>
      <c r="Z173" s="61"/>
      <c r="AA173" s="1">
        <f t="shared" si="138"/>
        <v>0</v>
      </c>
      <c r="AB173" s="1">
        <f t="shared" si="139"/>
        <v>130</v>
      </c>
      <c r="AC173" s="1"/>
      <c r="AD173" s="65">
        <f t="shared" si="140"/>
        <v>-130</v>
      </c>
      <c r="AE173" s="1"/>
      <c r="AF173" s="1">
        <f t="shared" si="141"/>
        <v>0</v>
      </c>
      <c r="AG173" s="1">
        <f>IF(AH173&gt;0,AH89:AH173,0)</f>
        <v>0</v>
      </c>
      <c r="AH173" s="1">
        <f t="shared" si="142"/>
        <v>-130</v>
      </c>
      <c r="AJ173">
        <f t="shared" si="143"/>
        <v>0</v>
      </c>
      <c r="AK173">
        <f t="shared" si="144"/>
        <v>0</v>
      </c>
      <c r="AL173">
        <f t="shared" si="145"/>
        <v>0</v>
      </c>
      <c r="AM173">
        <f t="shared" si="146"/>
        <v>0</v>
      </c>
      <c r="AO173">
        <f t="shared" si="147"/>
        <v>0</v>
      </c>
      <c r="AP173">
        <f t="shared" si="148"/>
        <v>0</v>
      </c>
      <c r="AQ173">
        <f t="shared" si="149"/>
        <v>0</v>
      </c>
      <c r="AR173">
        <f t="shared" si="150"/>
        <v>0</v>
      </c>
    </row>
    <row r="174" spans="2:44" ht="15.75" x14ac:dyDescent="0.25">
      <c r="B174" s="149" t="s">
        <v>705</v>
      </c>
      <c r="C174" s="149" t="s">
        <v>713</v>
      </c>
      <c r="D174" s="149"/>
      <c r="E174" t="s">
        <v>616</v>
      </c>
      <c r="F174">
        <f>IF(E174=$B$12,I174,0)</f>
        <v>0</v>
      </c>
      <c r="G174">
        <f t="shared" si="132"/>
        <v>1</v>
      </c>
      <c r="H174" s="92" t="s">
        <v>706</v>
      </c>
      <c r="I174">
        <v>5</v>
      </c>
      <c r="K174" t="s">
        <v>707</v>
      </c>
      <c r="L174" t="s">
        <v>55</v>
      </c>
      <c r="M174" s="5">
        <v>0</v>
      </c>
      <c r="N174" s="4" t="s">
        <v>36</v>
      </c>
      <c r="P174" s="86">
        <v>1304</v>
      </c>
      <c r="Q174" s="1">
        <f>ROUND((P174*0.4),0)</f>
        <v>522</v>
      </c>
      <c r="R174">
        <f t="shared" si="134"/>
        <v>1352</v>
      </c>
      <c r="S174" s="6">
        <v>41509</v>
      </c>
      <c r="T174" s="61">
        <v>4</v>
      </c>
      <c r="U174" s="61">
        <f t="shared" si="154"/>
        <v>70</v>
      </c>
      <c r="V174" s="7" t="str">
        <f>IF(W174=1,$AE$2,IF(W174=2,$AE$1,IF(AND(W174&lt;&gt;1,W174&lt;&gt;20)=TRUE,$AE$3)))</f>
        <v>PAYPAL</v>
      </c>
      <c r="W174" s="56">
        <v>2</v>
      </c>
      <c r="X174" s="5" t="s">
        <v>714</v>
      </c>
      <c r="Y174" s="61">
        <f t="shared" si="137"/>
        <v>1874</v>
      </c>
      <c r="Z174" s="61"/>
      <c r="AA174" s="1">
        <f t="shared" si="138"/>
        <v>0</v>
      </c>
      <c r="AB174" s="1">
        <f t="shared" si="139"/>
        <v>130</v>
      </c>
      <c r="AC174" s="1"/>
      <c r="AD174" s="65">
        <f t="shared" si="140"/>
        <v>1244</v>
      </c>
      <c r="AE174" s="1"/>
      <c r="AF174" s="1">
        <f t="shared" si="141"/>
        <v>30</v>
      </c>
      <c r="AG174" s="1">
        <f>IF(AH174&gt;0,AH65:AH174,0)</f>
        <v>1214</v>
      </c>
      <c r="AH174" s="1">
        <f t="shared" si="142"/>
        <v>1214</v>
      </c>
      <c r="AJ174">
        <f t="shared" si="143"/>
        <v>0</v>
      </c>
      <c r="AK174">
        <f t="shared" si="144"/>
        <v>0</v>
      </c>
      <c r="AL174">
        <f t="shared" si="145"/>
        <v>0</v>
      </c>
      <c r="AM174">
        <f t="shared" si="146"/>
        <v>1234</v>
      </c>
      <c r="AO174">
        <f t="shared" si="147"/>
        <v>0</v>
      </c>
      <c r="AP174">
        <f t="shared" si="148"/>
        <v>0</v>
      </c>
      <c r="AQ174">
        <f t="shared" si="149"/>
        <v>0</v>
      </c>
      <c r="AR174">
        <f t="shared" si="150"/>
        <v>1234</v>
      </c>
    </row>
    <row r="175" spans="2:44" ht="15.75" x14ac:dyDescent="0.25">
      <c r="B175" s="149" t="s">
        <v>585</v>
      </c>
      <c r="C175" t="s">
        <v>693</v>
      </c>
      <c r="E175" t="s">
        <v>61</v>
      </c>
      <c r="F175">
        <f>IF(E175=$B$12,I175,0)</f>
        <v>0</v>
      </c>
      <c r="G175">
        <f t="shared" si="132"/>
        <v>1</v>
      </c>
      <c r="H175" t="s">
        <v>631</v>
      </c>
      <c r="I175">
        <v>14</v>
      </c>
      <c r="K175" t="s">
        <v>35</v>
      </c>
      <c r="L175" t="s">
        <v>55</v>
      </c>
      <c r="M175" s="5">
        <v>0</v>
      </c>
      <c r="N175" s="4" t="s">
        <v>36</v>
      </c>
      <c r="P175" s="86">
        <v>2805</v>
      </c>
      <c r="Q175" s="1">
        <f>ROUND((P175*0.4),0)</f>
        <v>1122</v>
      </c>
      <c r="R175">
        <f t="shared" si="134"/>
        <v>2312</v>
      </c>
      <c r="S175" s="6">
        <v>41509</v>
      </c>
      <c r="T175" s="61">
        <v>4</v>
      </c>
      <c r="U175" s="61">
        <f t="shared" si="154"/>
        <v>129</v>
      </c>
      <c r="V175" s="7" t="str">
        <f>IF(W175=1,$AE$2,IF(W175=2,$AE$1,IF(AND(W175&lt;&gt;1,W175&lt;&gt;20)=TRUE,$AE$3)))</f>
        <v>PAYPAL</v>
      </c>
      <c r="W175" s="56">
        <v>2</v>
      </c>
      <c r="X175" s="157" t="s">
        <v>716</v>
      </c>
      <c r="Y175" s="61">
        <f t="shared" si="137"/>
        <v>3434</v>
      </c>
      <c r="Z175" s="61"/>
      <c r="AA175" s="1">
        <f t="shared" si="138"/>
        <v>0</v>
      </c>
      <c r="AB175" s="1">
        <f t="shared" si="139"/>
        <v>130</v>
      </c>
      <c r="AC175" s="1"/>
      <c r="AD175" s="65">
        <f t="shared" si="140"/>
        <v>2804</v>
      </c>
      <c r="AE175" s="1"/>
      <c r="AF175" s="1">
        <f t="shared" si="141"/>
        <v>30</v>
      </c>
      <c r="AG175" s="1">
        <f>IF(AH175&gt;0,AH66:AH175,0)</f>
        <v>2774</v>
      </c>
      <c r="AH175" s="1">
        <f t="shared" si="142"/>
        <v>2774</v>
      </c>
      <c r="AJ175">
        <f t="shared" si="143"/>
        <v>0</v>
      </c>
      <c r="AK175">
        <f t="shared" si="144"/>
        <v>0</v>
      </c>
      <c r="AL175">
        <f t="shared" si="145"/>
        <v>0</v>
      </c>
      <c r="AM175">
        <f t="shared" si="146"/>
        <v>2676</v>
      </c>
      <c r="AO175">
        <f t="shared" si="147"/>
        <v>0</v>
      </c>
      <c r="AP175">
        <f t="shared" si="148"/>
        <v>0</v>
      </c>
      <c r="AQ175">
        <f t="shared" si="149"/>
        <v>0</v>
      </c>
      <c r="AR175">
        <f t="shared" si="150"/>
        <v>2676</v>
      </c>
    </row>
    <row r="176" spans="2:44" x14ac:dyDescent="0.25">
      <c r="B176" s="8" t="s">
        <v>715</v>
      </c>
      <c r="C176" t="s">
        <v>633</v>
      </c>
      <c r="E176" t="s">
        <v>370</v>
      </c>
      <c r="F176">
        <f t="shared" si="151"/>
        <v>0</v>
      </c>
      <c r="G176">
        <f t="shared" si="132"/>
        <v>1</v>
      </c>
      <c r="H176" s="121" t="s">
        <v>632</v>
      </c>
      <c r="I176">
        <v>8</v>
      </c>
      <c r="K176" t="s">
        <v>401</v>
      </c>
      <c r="L176" t="s">
        <v>55</v>
      </c>
      <c r="M176" s="5">
        <v>0</v>
      </c>
      <c r="N176" s="4" t="s">
        <v>36</v>
      </c>
      <c r="P176" s="86">
        <v>1685</v>
      </c>
      <c r="Q176" s="1">
        <f t="shared" si="152"/>
        <v>674</v>
      </c>
      <c r="R176">
        <f t="shared" si="134"/>
        <v>1596</v>
      </c>
      <c r="S176" s="6">
        <v>41890</v>
      </c>
      <c r="T176" s="61">
        <v>4</v>
      </c>
      <c r="U176" s="61">
        <f t="shared" si="154"/>
        <v>85</v>
      </c>
      <c r="V176" s="7" t="str">
        <f t="shared" si="153"/>
        <v>PAYPAL</v>
      </c>
      <c r="W176" s="56">
        <v>2</v>
      </c>
      <c r="X176" s="5" t="s">
        <v>163</v>
      </c>
      <c r="Y176" s="61">
        <f t="shared" si="137"/>
        <v>2270</v>
      </c>
      <c r="Z176" s="61"/>
      <c r="AA176" s="1">
        <f t="shared" si="138"/>
        <v>0</v>
      </c>
      <c r="AB176" s="1">
        <f t="shared" si="139"/>
        <v>130</v>
      </c>
      <c r="AC176" s="1"/>
      <c r="AD176" s="65">
        <f t="shared" si="140"/>
        <v>1640</v>
      </c>
      <c r="AE176" s="1"/>
      <c r="AF176" s="1">
        <f t="shared" si="141"/>
        <v>30</v>
      </c>
      <c r="AG176" s="1">
        <f>IF(AH176&gt;0,AH90:AH176,0)</f>
        <v>1610</v>
      </c>
      <c r="AH176" s="1">
        <f t="shared" si="142"/>
        <v>1610</v>
      </c>
      <c r="AJ176">
        <f t="shared" si="143"/>
        <v>0</v>
      </c>
      <c r="AK176">
        <f t="shared" si="144"/>
        <v>0</v>
      </c>
      <c r="AL176">
        <f t="shared" si="145"/>
        <v>0</v>
      </c>
      <c r="AM176">
        <f t="shared" si="146"/>
        <v>1600</v>
      </c>
      <c r="AO176">
        <f t="shared" si="147"/>
        <v>0</v>
      </c>
      <c r="AP176">
        <f t="shared" si="148"/>
        <v>0</v>
      </c>
      <c r="AQ176">
        <f t="shared" si="149"/>
        <v>0</v>
      </c>
      <c r="AR176">
        <f t="shared" si="150"/>
        <v>1600</v>
      </c>
    </row>
    <row r="177" spans="1:45" x14ac:dyDescent="0.25">
      <c r="B177" s="121" t="s">
        <v>702</v>
      </c>
      <c r="C177" t="s">
        <v>701</v>
      </c>
      <c r="E177" t="s">
        <v>30</v>
      </c>
      <c r="F177">
        <f>IF(E177=$B$12,I177,0)</f>
        <v>0</v>
      </c>
      <c r="G177">
        <f t="shared" si="132"/>
        <v>1</v>
      </c>
      <c r="H177" t="s">
        <v>703</v>
      </c>
      <c r="I177">
        <v>7</v>
      </c>
      <c r="K177" t="s">
        <v>103</v>
      </c>
      <c r="L177" t="s">
        <v>55</v>
      </c>
      <c r="M177" s="5">
        <v>0</v>
      </c>
      <c r="N177" s="4" t="s">
        <v>36</v>
      </c>
      <c r="P177" s="86">
        <v>1557</v>
      </c>
      <c r="Q177" s="1">
        <f t="shared" si="152"/>
        <v>623</v>
      </c>
      <c r="R177">
        <f t="shared" si="134"/>
        <v>1514</v>
      </c>
      <c r="S177" s="159">
        <v>41537</v>
      </c>
      <c r="T177" s="61">
        <v>4</v>
      </c>
      <c r="U177" s="61">
        <f t="shared" si="154"/>
        <v>80</v>
      </c>
      <c r="V177" s="7" t="str">
        <f t="shared" si="153"/>
        <v>PAYPAL</v>
      </c>
      <c r="W177" s="56">
        <v>2</v>
      </c>
      <c r="X177" s="5" t="s">
        <v>162</v>
      </c>
      <c r="Y177" s="61">
        <f t="shared" si="137"/>
        <v>2137</v>
      </c>
      <c r="Z177" s="61"/>
      <c r="AA177" s="1">
        <f t="shared" si="138"/>
        <v>0</v>
      </c>
      <c r="AB177" s="1">
        <f t="shared" si="139"/>
        <v>130</v>
      </c>
      <c r="AC177" s="1"/>
      <c r="AD177" s="65">
        <f t="shared" si="140"/>
        <v>1507</v>
      </c>
      <c r="AE177" s="1"/>
      <c r="AF177" s="1">
        <f t="shared" si="141"/>
        <v>30</v>
      </c>
      <c r="AG177" s="1">
        <f>IF(AH177&gt;0,AH68:AH177,0)</f>
        <v>1477</v>
      </c>
      <c r="AH177" s="1">
        <f t="shared" si="142"/>
        <v>1477</v>
      </c>
      <c r="AJ177">
        <f t="shared" si="143"/>
        <v>0</v>
      </c>
      <c r="AK177">
        <f t="shared" si="144"/>
        <v>0</v>
      </c>
      <c r="AL177">
        <f t="shared" si="145"/>
        <v>0</v>
      </c>
      <c r="AM177">
        <f t="shared" si="146"/>
        <v>1477</v>
      </c>
      <c r="AO177">
        <f t="shared" si="147"/>
        <v>0</v>
      </c>
      <c r="AP177">
        <f t="shared" si="148"/>
        <v>0</v>
      </c>
      <c r="AQ177">
        <f t="shared" si="149"/>
        <v>0</v>
      </c>
      <c r="AR177">
        <f t="shared" si="150"/>
        <v>1477</v>
      </c>
    </row>
    <row r="178" spans="1:45" x14ac:dyDescent="0.25">
      <c r="B178" s="82" t="s">
        <v>82</v>
      </c>
      <c r="C178" s="8" t="s">
        <v>438</v>
      </c>
      <c r="D178" s="8"/>
      <c r="E178" t="s">
        <v>42</v>
      </c>
      <c r="F178">
        <f>IF(E178=$B$12,I178,0)</f>
        <v>5</v>
      </c>
      <c r="G178">
        <f t="shared" si="132"/>
        <v>0</v>
      </c>
      <c r="H178" s="84" t="s">
        <v>617</v>
      </c>
      <c r="I178">
        <v>5</v>
      </c>
      <c r="K178" t="s">
        <v>63</v>
      </c>
      <c r="L178" t="s">
        <v>55</v>
      </c>
      <c r="M178" s="5">
        <v>3</v>
      </c>
      <c r="N178" s="4" t="s">
        <v>36</v>
      </c>
      <c r="P178" s="86">
        <v>0</v>
      </c>
      <c r="Q178" s="1">
        <f>ROUND((P178*0.4),0)</f>
        <v>0</v>
      </c>
      <c r="R178">
        <f t="shared" si="134"/>
        <v>0</v>
      </c>
      <c r="S178" s="6"/>
      <c r="T178" s="61">
        <v>4</v>
      </c>
      <c r="U178" s="61">
        <f t="shared" si="154"/>
        <v>0</v>
      </c>
      <c r="V178" s="7" t="str">
        <f>IF(W178=1,$AE$2,IF(W178=2,$AE$1,IF(AND(W178&lt;&gt;1,W178&lt;&gt;20)=TRUE,$AE$3)))</f>
        <v>NONE</v>
      </c>
      <c r="W178" s="56"/>
      <c r="X178" s="5"/>
      <c r="Y178" s="61">
        <f t="shared" si="137"/>
        <v>0</v>
      </c>
      <c r="Z178" s="61"/>
      <c r="AA178" s="1">
        <f t="shared" si="138"/>
        <v>0</v>
      </c>
      <c r="AB178" s="1">
        <f t="shared" si="139"/>
        <v>130</v>
      </c>
      <c r="AC178" s="1"/>
      <c r="AD178" s="65">
        <f t="shared" si="140"/>
        <v>-130</v>
      </c>
      <c r="AE178" s="1"/>
      <c r="AF178" s="1">
        <f t="shared" si="141"/>
        <v>0</v>
      </c>
      <c r="AG178" s="1">
        <f>IF(AH178&gt;0,AH92:AH178,0)</f>
        <v>0</v>
      </c>
      <c r="AH178" s="1">
        <f t="shared" si="142"/>
        <v>-130</v>
      </c>
      <c r="AJ178">
        <f t="shared" si="143"/>
        <v>0</v>
      </c>
      <c r="AK178">
        <f t="shared" si="144"/>
        <v>0</v>
      </c>
      <c r="AL178">
        <f t="shared" si="145"/>
        <v>0</v>
      </c>
      <c r="AM178">
        <f t="shared" si="146"/>
        <v>0</v>
      </c>
      <c r="AO178">
        <f t="shared" si="147"/>
        <v>0</v>
      </c>
      <c r="AP178">
        <f t="shared" si="148"/>
        <v>0</v>
      </c>
      <c r="AQ178">
        <f t="shared" si="149"/>
        <v>0</v>
      </c>
      <c r="AR178">
        <f t="shared" si="150"/>
        <v>0</v>
      </c>
    </row>
    <row r="179" spans="1:45" x14ac:dyDescent="0.25">
      <c r="B179" s="8" t="s">
        <v>629</v>
      </c>
      <c r="C179" t="s">
        <v>578</v>
      </c>
      <c r="E179" t="s">
        <v>370</v>
      </c>
      <c r="F179">
        <f>IF(E179=$B$12,I179,0)</f>
        <v>0</v>
      </c>
      <c r="G179">
        <f t="shared" si="132"/>
        <v>1</v>
      </c>
      <c r="H179" s="164" t="s">
        <v>628</v>
      </c>
      <c r="I179">
        <v>7</v>
      </c>
      <c r="K179" t="s">
        <v>630</v>
      </c>
      <c r="L179" t="s">
        <v>55</v>
      </c>
      <c r="M179" s="5">
        <v>0</v>
      </c>
      <c r="N179" s="4" t="s">
        <v>36</v>
      </c>
      <c r="P179" s="86">
        <v>1498</v>
      </c>
      <c r="Q179" s="1">
        <f>ROUND((P179*0.4),0)</f>
        <v>599</v>
      </c>
      <c r="R179">
        <f t="shared" si="134"/>
        <v>1477</v>
      </c>
      <c r="S179" s="6">
        <v>41917</v>
      </c>
      <c r="T179" s="61">
        <v>4</v>
      </c>
      <c r="U179" s="61">
        <f t="shared" si="154"/>
        <v>78</v>
      </c>
      <c r="V179" s="7" t="str">
        <f>IF(W179=1,$AE$2,IF(W179=2,$AE$1,IF(AND(W179&lt;&gt;1,W179&lt;&gt;20)=TRUE,$AE$3)))</f>
        <v>PAYPAL</v>
      </c>
      <c r="W179" s="56">
        <v>2</v>
      </c>
      <c r="X179" s="5" t="s">
        <v>709</v>
      </c>
      <c r="Y179" s="61">
        <f t="shared" si="137"/>
        <v>2076</v>
      </c>
      <c r="Z179" s="61"/>
      <c r="AA179" s="1">
        <f t="shared" si="138"/>
        <v>0</v>
      </c>
      <c r="AB179" s="1">
        <f t="shared" si="139"/>
        <v>130</v>
      </c>
      <c r="AC179" s="1"/>
      <c r="AD179" s="65">
        <f t="shared" si="140"/>
        <v>1446</v>
      </c>
      <c r="AE179" s="1"/>
      <c r="AF179" s="1">
        <f t="shared" si="141"/>
        <v>30</v>
      </c>
      <c r="AG179" s="1">
        <f>IF(AH179&gt;0,AH93:AH179,0)</f>
        <v>1416</v>
      </c>
      <c r="AH179" s="1">
        <f t="shared" si="142"/>
        <v>1416</v>
      </c>
      <c r="AJ179">
        <f t="shared" si="143"/>
        <v>0</v>
      </c>
      <c r="AK179">
        <f t="shared" si="144"/>
        <v>0</v>
      </c>
      <c r="AL179">
        <f t="shared" si="145"/>
        <v>0</v>
      </c>
      <c r="AM179">
        <f t="shared" si="146"/>
        <v>1420</v>
      </c>
      <c r="AO179">
        <f t="shared" si="147"/>
        <v>0</v>
      </c>
      <c r="AP179">
        <f t="shared" si="148"/>
        <v>0</v>
      </c>
      <c r="AQ179">
        <f t="shared" si="149"/>
        <v>0</v>
      </c>
      <c r="AR179">
        <f t="shared" si="150"/>
        <v>1420</v>
      </c>
    </row>
    <row r="180" spans="1:45" x14ac:dyDescent="0.25">
      <c r="B180" t="s">
        <v>407</v>
      </c>
      <c r="C180" t="s">
        <v>408</v>
      </c>
      <c r="E180" t="s">
        <v>30</v>
      </c>
      <c r="F180">
        <f>IF(E180=$B$12,I180,0)</f>
        <v>0</v>
      </c>
      <c r="G180">
        <f t="shared" si="132"/>
        <v>1</v>
      </c>
      <c r="H180" s="92" t="s">
        <v>720</v>
      </c>
      <c r="I180">
        <v>7</v>
      </c>
      <c r="K180" t="s">
        <v>615</v>
      </c>
      <c r="L180" t="s">
        <v>55</v>
      </c>
      <c r="M180" s="5">
        <v>0</v>
      </c>
      <c r="N180" s="4" t="s">
        <v>36</v>
      </c>
      <c r="P180" s="86">
        <v>1351</v>
      </c>
      <c r="Q180" s="125">
        <f>ROUND((P180*0.4),0)</f>
        <v>540</v>
      </c>
      <c r="R180">
        <f t="shared" si="134"/>
        <v>1383</v>
      </c>
      <c r="S180" s="6">
        <v>41924</v>
      </c>
      <c r="T180" s="61">
        <v>4</v>
      </c>
      <c r="U180" s="61">
        <f t="shared" si="154"/>
        <v>72</v>
      </c>
      <c r="V180" s="7" t="str">
        <f>IF(W180=1,$AE$2,IF(W180=2,$AE$1,IF(AND(W180&lt;&gt;1,W180&lt;&gt;20)=TRUE,$AE$3)))</f>
        <v>PAYPAL</v>
      </c>
      <c r="W180" s="56">
        <v>2</v>
      </c>
      <c r="X180" s="5" t="s">
        <v>162</v>
      </c>
      <c r="Y180" s="61">
        <f t="shared" si="137"/>
        <v>1923</v>
      </c>
      <c r="Z180" s="61"/>
      <c r="AA180" s="1">
        <f t="shared" si="138"/>
        <v>0</v>
      </c>
      <c r="AB180" s="1">
        <f t="shared" si="139"/>
        <v>130</v>
      </c>
      <c r="AC180" s="1"/>
      <c r="AD180" s="65">
        <f t="shared" si="140"/>
        <v>1293</v>
      </c>
      <c r="AE180" s="1"/>
      <c r="AF180" s="1">
        <f t="shared" si="141"/>
        <v>30</v>
      </c>
      <c r="AG180" s="1">
        <f>IF(AH180&gt;0,AH87:AH180,0)</f>
        <v>1263</v>
      </c>
      <c r="AH180" s="1">
        <f t="shared" si="142"/>
        <v>1263</v>
      </c>
      <c r="AJ180">
        <f t="shared" si="143"/>
        <v>0</v>
      </c>
      <c r="AK180">
        <f t="shared" si="144"/>
        <v>0</v>
      </c>
      <c r="AL180">
        <f t="shared" si="145"/>
        <v>0</v>
      </c>
      <c r="AM180">
        <f t="shared" si="146"/>
        <v>1279</v>
      </c>
      <c r="AO180">
        <f t="shared" si="147"/>
        <v>0</v>
      </c>
      <c r="AP180">
        <f t="shared" si="148"/>
        <v>0</v>
      </c>
      <c r="AQ180">
        <f t="shared" si="149"/>
        <v>0</v>
      </c>
      <c r="AR180">
        <f t="shared" si="150"/>
        <v>1279</v>
      </c>
    </row>
    <row r="181" spans="1:45" x14ac:dyDescent="0.25">
      <c r="B181" s="8" t="s">
        <v>626</v>
      </c>
      <c r="C181" t="s">
        <v>711</v>
      </c>
      <c r="E181" t="s">
        <v>616</v>
      </c>
      <c r="F181">
        <f>IF(E181=$B$12,I181,0)</f>
        <v>0</v>
      </c>
      <c r="G181">
        <f t="shared" si="132"/>
        <v>1</v>
      </c>
      <c r="H181" s="121" t="s">
        <v>627</v>
      </c>
      <c r="I181">
        <v>6</v>
      </c>
      <c r="K181" t="s">
        <v>712</v>
      </c>
      <c r="L181" t="s">
        <v>55</v>
      </c>
      <c r="M181" s="5">
        <v>0</v>
      </c>
      <c r="N181" s="4" t="s">
        <v>36</v>
      </c>
      <c r="P181" s="86">
        <v>1463</v>
      </c>
      <c r="Q181" s="1">
        <f>ROUND((P181*0.4),0)</f>
        <v>585</v>
      </c>
      <c r="R181">
        <f t="shared" si="134"/>
        <v>1455</v>
      </c>
      <c r="S181" s="6">
        <v>41934</v>
      </c>
      <c r="T181" s="61">
        <v>4</v>
      </c>
      <c r="U181" s="61">
        <f t="shared" si="154"/>
        <v>77</v>
      </c>
      <c r="V181" s="7" t="str">
        <f>IF(W181=1,$AE$2,IF(W181=2,$AE$1,IF(AND(W181&lt;&gt;1,W181&lt;&gt;20)=TRUE,$AE$3)))</f>
        <v>PAYPAL</v>
      </c>
      <c r="W181" s="56">
        <v>2</v>
      </c>
      <c r="X181" s="157" t="s">
        <v>722</v>
      </c>
      <c r="Y181" s="61">
        <f t="shared" si="137"/>
        <v>2040</v>
      </c>
      <c r="Z181" s="61"/>
      <c r="AA181" s="1">
        <f t="shared" si="138"/>
        <v>0</v>
      </c>
      <c r="AB181" s="1">
        <f t="shared" si="139"/>
        <v>130</v>
      </c>
      <c r="AC181" s="1"/>
      <c r="AD181" s="65">
        <f t="shared" si="140"/>
        <v>1410</v>
      </c>
      <c r="AE181" s="1"/>
      <c r="AF181" s="1">
        <f t="shared" si="141"/>
        <v>30</v>
      </c>
      <c r="AG181" s="1">
        <f>IF(AH181&gt;0,AH94:AH181,0)</f>
        <v>1380</v>
      </c>
      <c r="AH181" s="1">
        <f t="shared" si="142"/>
        <v>1380</v>
      </c>
      <c r="AJ181">
        <f t="shared" si="143"/>
        <v>0</v>
      </c>
      <c r="AK181">
        <f t="shared" si="144"/>
        <v>0</v>
      </c>
      <c r="AL181">
        <f t="shared" si="145"/>
        <v>0</v>
      </c>
      <c r="AM181">
        <f t="shared" si="146"/>
        <v>1386</v>
      </c>
      <c r="AO181">
        <f t="shared" si="147"/>
        <v>0</v>
      </c>
      <c r="AP181">
        <f t="shared" si="148"/>
        <v>0</v>
      </c>
      <c r="AQ181">
        <f t="shared" si="149"/>
        <v>0</v>
      </c>
      <c r="AR181">
        <f t="shared" si="150"/>
        <v>1386</v>
      </c>
    </row>
    <row r="182" spans="1:45" x14ac:dyDescent="0.25">
      <c r="B182" s="82" t="s">
        <v>82</v>
      </c>
      <c r="C182" s="8" t="s">
        <v>438</v>
      </c>
      <c r="D182" s="8"/>
      <c r="E182" t="s">
        <v>42</v>
      </c>
      <c r="F182">
        <f t="shared" si="151"/>
        <v>4</v>
      </c>
      <c r="G182">
        <f t="shared" si="132"/>
        <v>0</v>
      </c>
      <c r="H182" s="83" t="s">
        <v>668</v>
      </c>
      <c r="I182">
        <v>4</v>
      </c>
      <c r="K182" t="s">
        <v>63</v>
      </c>
      <c r="L182" t="s">
        <v>55</v>
      </c>
      <c r="M182" s="5">
        <v>3</v>
      </c>
      <c r="N182" s="4" t="s">
        <v>36</v>
      </c>
      <c r="P182" s="86">
        <v>0</v>
      </c>
      <c r="Q182" s="1">
        <f t="shared" si="152"/>
        <v>0</v>
      </c>
      <c r="R182">
        <f t="shared" si="134"/>
        <v>0</v>
      </c>
      <c r="S182" s="6"/>
      <c r="T182" s="61">
        <v>4</v>
      </c>
      <c r="U182" s="61">
        <f t="shared" si="154"/>
        <v>0</v>
      </c>
      <c r="V182" s="7" t="str">
        <f t="shared" si="153"/>
        <v>NONE</v>
      </c>
      <c r="W182" s="56"/>
      <c r="X182" s="5"/>
      <c r="Y182" s="61">
        <f t="shared" si="137"/>
        <v>0</v>
      </c>
      <c r="Z182" s="61"/>
      <c r="AA182" s="1">
        <f t="shared" si="138"/>
        <v>0</v>
      </c>
      <c r="AB182" s="1">
        <f t="shared" si="139"/>
        <v>130</v>
      </c>
      <c r="AC182" s="1"/>
      <c r="AD182" s="65">
        <f t="shared" si="140"/>
        <v>-130</v>
      </c>
      <c r="AE182" s="1"/>
      <c r="AF182" s="1">
        <f t="shared" si="141"/>
        <v>0</v>
      </c>
      <c r="AG182" s="1">
        <f>IF(AH182&gt;0,AH90:AH182,0)</f>
        <v>0</v>
      </c>
      <c r="AH182" s="1">
        <f t="shared" si="142"/>
        <v>-130</v>
      </c>
      <c r="AJ182">
        <f t="shared" si="143"/>
        <v>0</v>
      </c>
      <c r="AK182">
        <f t="shared" si="144"/>
        <v>0</v>
      </c>
      <c r="AL182">
        <f t="shared" si="145"/>
        <v>0</v>
      </c>
      <c r="AM182">
        <f t="shared" si="146"/>
        <v>0</v>
      </c>
      <c r="AO182">
        <f t="shared" si="147"/>
        <v>0</v>
      </c>
      <c r="AP182">
        <f t="shared" si="148"/>
        <v>0</v>
      </c>
      <c r="AQ182">
        <f t="shared" si="149"/>
        <v>0</v>
      </c>
      <c r="AR182">
        <f t="shared" si="150"/>
        <v>0</v>
      </c>
    </row>
    <row r="183" spans="1:45" x14ac:dyDescent="0.25">
      <c r="F183">
        <f t="shared" si="151"/>
        <v>0</v>
      </c>
      <c r="G183">
        <f t="shared" si="132"/>
        <v>1</v>
      </c>
      <c r="N183" s="4"/>
      <c r="P183" s="86"/>
      <c r="Q183" s="125">
        <f t="shared" si="152"/>
        <v>0</v>
      </c>
      <c r="R183">
        <f t="shared" si="134"/>
        <v>0</v>
      </c>
      <c r="S183" s="6"/>
      <c r="T183" s="61"/>
      <c r="U183" s="61">
        <f t="shared" si="154"/>
        <v>0</v>
      </c>
      <c r="V183" s="7" t="str">
        <f t="shared" si="153"/>
        <v>NONE</v>
      </c>
      <c r="W183" s="56"/>
      <c r="X183" s="5"/>
      <c r="Y183" s="61">
        <f t="shared" si="137"/>
        <v>0</v>
      </c>
      <c r="Z183" s="61"/>
      <c r="AA183" s="1">
        <f t="shared" si="138"/>
        <v>0</v>
      </c>
      <c r="AB183" s="1">
        <f t="shared" si="139"/>
        <v>0</v>
      </c>
      <c r="AC183" s="1"/>
      <c r="AD183" s="65">
        <f t="shared" si="140"/>
        <v>0</v>
      </c>
      <c r="AE183" s="1"/>
      <c r="AF183" s="1">
        <f t="shared" si="141"/>
        <v>0</v>
      </c>
      <c r="AG183" s="1">
        <f>IF(AH183&gt;0,AH89:AH183,0)</f>
        <v>0</v>
      </c>
      <c r="AH183" s="1">
        <f t="shared" si="142"/>
        <v>0</v>
      </c>
      <c r="AJ183">
        <f t="shared" si="143"/>
        <v>0</v>
      </c>
      <c r="AK183">
        <f t="shared" si="144"/>
        <v>0</v>
      </c>
      <c r="AL183">
        <f t="shared" si="145"/>
        <v>0</v>
      </c>
      <c r="AM183">
        <f t="shared" si="146"/>
        <v>0</v>
      </c>
      <c r="AO183">
        <f t="shared" si="147"/>
        <v>0</v>
      </c>
      <c r="AP183">
        <f t="shared" si="148"/>
        <v>0</v>
      </c>
      <c r="AQ183">
        <f t="shared" si="149"/>
        <v>0</v>
      </c>
      <c r="AR183">
        <f t="shared" si="150"/>
        <v>0</v>
      </c>
    </row>
    <row r="184" spans="1:45" x14ac:dyDescent="0.25">
      <c r="A184" s="40"/>
      <c r="B184" s="155">
        <f>COUNTIFS(E144:E183,"&lt;&gt;NA")-COUNTIFS(E144:E183,"="&amp;E1)</f>
        <v>25</v>
      </c>
      <c r="C184" s="140" t="s">
        <v>472</v>
      </c>
      <c r="D184" s="140"/>
      <c r="E184" s="40">
        <f>SUM(F144:F183)</f>
        <v>119</v>
      </c>
      <c r="F184" s="40"/>
      <c r="G184" s="40"/>
      <c r="H184" s="54" t="s">
        <v>215</v>
      </c>
      <c r="I184" s="53">
        <f>SUM(I143:I183)-SUM(F144:F183)</f>
        <v>223</v>
      </c>
      <c r="J184" s="53"/>
      <c r="K184" s="52">
        <f>ROUND(I184/7,0)</f>
        <v>32</v>
      </c>
      <c r="L184" s="52" t="s">
        <v>214</v>
      </c>
      <c r="M184" s="54" t="s">
        <v>216</v>
      </c>
      <c r="N184" s="123">
        <f>ROUND(AG184/K184,0)</f>
        <v>1386</v>
      </c>
      <c r="O184" s="40"/>
      <c r="P184" s="71">
        <f>SUM(P144:P183)</f>
        <v>46167</v>
      </c>
      <c r="Q184" s="43"/>
      <c r="R184" s="69">
        <f>AA184</f>
        <v>0</v>
      </c>
      <c r="S184" s="68" t="s">
        <v>254</v>
      </c>
      <c r="T184" s="101"/>
      <c r="U184" s="62"/>
      <c r="V184" s="42"/>
      <c r="W184" s="42"/>
      <c r="X184" s="41"/>
      <c r="Y184" s="43"/>
      <c r="Z184" s="43">
        <f>AA184</f>
        <v>0</v>
      </c>
      <c r="AA184" s="43">
        <f>SUM(AA144:AA183)</f>
        <v>0</v>
      </c>
      <c r="AB184" s="43">
        <f>SUM(AB144:AB183)</f>
        <v>5070</v>
      </c>
      <c r="AC184" s="43">
        <f>AB184</f>
        <v>5070</v>
      </c>
      <c r="AD184" s="40"/>
      <c r="AE184" s="43"/>
      <c r="AF184" s="43">
        <f>SUM(AF144:AF183)</f>
        <v>780</v>
      </c>
      <c r="AG184" s="43">
        <f>SUM(AG144:AG183)</f>
        <v>44348</v>
      </c>
      <c r="AH184" s="71">
        <f>SUM(AH144:AH183)</f>
        <v>42498</v>
      </c>
      <c r="AI184" s="40">
        <f>AH184</f>
        <v>42498</v>
      </c>
      <c r="AJ184" s="104">
        <f>SUM(AJ144:AJ183)</f>
        <v>6987</v>
      </c>
      <c r="AK184" s="104">
        <f>SUM(AK144:AK183)</f>
        <v>14479</v>
      </c>
      <c r="AL184" s="104">
        <f>SUM(AL144:AL183)</f>
        <v>6606</v>
      </c>
      <c r="AM184" s="104">
        <f>SUM(AM144:AM183)</f>
        <v>13229</v>
      </c>
      <c r="AN184" s="106">
        <f>SUM(AJ184:AM184)</f>
        <v>41301</v>
      </c>
      <c r="AO184" s="104">
        <f>SUM(AO144:AO183)</f>
        <v>6987</v>
      </c>
      <c r="AP184" s="104">
        <f>SUM(AP144:AP183)</f>
        <v>14479</v>
      </c>
      <c r="AQ184" s="104">
        <f>SUM(AQ144:AQ183)</f>
        <v>6606</v>
      </c>
      <c r="AR184" s="104">
        <f>SUM(AR144:AR183)</f>
        <v>13229</v>
      </c>
      <c r="AS184" s="106">
        <f>SUM(AO184:AR184)</f>
        <v>41301</v>
      </c>
    </row>
    <row r="185" spans="1:45" ht="21" customHeight="1" x14ac:dyDescent="0.35">
      <c r="A185" s="105"/>
      <c r="B185" s="122">
        <v>2015</v>
      </c>
      <c r="C185" s="107"/>
      <c r="D185" s="107"/>
      <c r="E185" s="105"/>
      <c r="F185" s="105"/>
      <c r="G185" s="105"/>
      <c r="H185" s="108"/>
      <c r="I185" s="109"/>
      <c r="J185" s="109"/>
      <c r="K185" s="110"/>
      <c r="L185" s="110"/>
      <c r="M185" s="108"/>
      <c r="N185" s="111"/>
      <c r="O185" s="105"/>
      <c r="P185" s="112"/>
      <c r="Q185" s="113"/>
      <c r="R185" s="114"/>
      <c r="S185" s="115"/>
      <c r="T185" s="116"/>
      <c r="U185" s="117"/>
      <c r="V185" s="118"/>
      <c r="W185" s="118"/>
      <c r="X185" s="119"/>
      <c r="Y185" s="113"/>
      <c r="Z185" s="113"/>
      <c r="AA185" s="113"/>
      <c r="AB185" s="113"/>
      <c r="AC185" s="113"/>
      <c r="AD185" s="105"/>
      <c r="AE185" s="113"/>
      <c r="AF185" s="113"/>
      <c r="AG185" s="113"/>
      <c r="AH185" s="112"/>
      <c r="AI185" s="40"/>
      <c r="AJ185" s="96">
        <f>ROUNDUP(AJ184*0.04,0)</f>
        <v>280</v>
      </c>
      <c r="AK185" s="96">
        <f>ROUNDUP(AK184*0.04,0)</f>
        <v>580</v>
      </c>
      <c r="AL185" s="96">
        <f>ROUNDUP(AL184*0.04,0)</f>
        <v>265</v>
      </c>
      <c r="AM185" s="96">
        <f>ROUNDUP(AM184*0.04,0)</f>
        <v>530</v>
      </c>
      <c r="AN185" s="106">
        <f>SUM(AJ185:AM185)</f>
        <v>1655</v>
      </c>
      <c r="AO185" s="96">
        <f>ROUNDUP(AO184*0.06,0)</f>
        <v>420</v>
      </c>
      <c r="AP185" s="96">
        <f>ROUNDUP(AP184*0.06,0)</f>
        <v>869</v>
      </c>
      <c r="AQ185" s="96">
        <f>ROUNDUP(AQ184*0.06,0)</f>
        <v>397</v>
      </c>
      <c r="AR185" s="96">
        <f>ROUNDUP(AR184*0.06,0)</f>
        <v>794</v>
      </c>
      <c r="AS185" s="106">
        <f>SUM(AO185:AR185)</f>
        <v>2480</v>
      </c>
    </row>
    <row r="186" spans="1:45" x14ac:dyDescent="0.25">
      <c r="B186" s="82" t="s">
        <v>82</v>
      </c>
      <c r="C186" s="8" t="s">
        <v>42</v>
      </c>
      <c r="D186" s="8"/>
      <c r="E186" t="s">
        <v>42</v>
      </c>
      <c r="F186">
        <f>IF(E186=$B$12,I186,0)</f>
        <v>58</v>
      </c>
      <c r="G186">
        <f t="shared" ref="G186:G206" si="155">IF(F186&gt;0,0,1)</f>
        <v>0</v>
      </c>
      <c r="H186" s="83" t="s">
        <v>674</v>
      </c>
      <c r="I186" s="121">
        <v>58</v>
      </c>
      <c r="K186" t="s">
        <v>63</v>
      </c>
      <c r="L186" t="s">
        <v>55</v>
      </c>
      <c r="M186" s="5">
        <v>3</v>
      </c>
      <c r="N186" s="4" t="s">
        <v>36</v>
      </c>
      <c r="P186" s="86">
        <v>0</v>
      </c>
      <c r="Q186" s="1">
        <f t="shared" ref="Q186:Q191" si="156">ROUND((P186*0.4),0)</f>
        <v>0</v>
      </c>
      <c r="R186">
        <f t="shared" ref="R186:R199" si="157">IF(P186&gt;0,((P186+500)-Q186)+U186,0)</f>
        <v>0</v>
      </c>
      <c r="S186" s="6"/>
      <c r="T186" s="61">
        <v>1</v>
      </c>
      <c r="U186" s="61">
        <f t="shared" ref="U186:U193" si="158">IF(V186=$AE$2,47,IF(V186=$AE$1,ROUND(((P186+500)*0.039),0),IF(V186=$AE$3,0)))</f>
        <v>0</v>
      </c>
      <c r="V186" s="7" t="str">
        <f t="shared" ref="V186:V206" si="159">IF(W186=1,$AE$2,IF(W186=2,$AE$1,IF(AND(W186&lt;&gt;1,W186&lt;&gt;20)=TRUE,$AE$3)))</f>
        <v>NONE</v>
      </c>
      <c r="W186" s="56"/>
      <c r="X186" s="5"/>
      <c r="Y186" s="61">
        <f t="shared" ref="Y186:Y193" si="160">R186+Q186</f>
        <v>0</v>
      </c>
      <c r="Z186" s="61"/>
      <c r="AA186" s="1">
        <f t="shared" ref="AA186:AA206" si="161">IF(X186=$AA$1,R186-500,0)</f>
        <v>0</v>
      </c>
      <c r="AB186" s="1">
        <f t="shared" ref="AB186:AB206" si="162">IF(I186&gt;0,130,0)</f>
        <v>130</v>
      </c>
      <c r="AC186" s="1"/>
      <c r="AD186" s="65">
        <f t="shared" ref="AD186:AD206" si="163">(P186+U186)-AB186</f>
        <v>-130</v>
      </c>
      <c r="AE186" s="1"/>
      <c r="AF186" s="1">
        <f t="shared" ref="AF186:AF206" si="164">IF(I186&gt;0,30*G186,0)</f>
        <v>0</v>
      </c>
      <c r="AG186" s="1">
        <f>IF(AH186&gt;0,AH98:AH186,0)</f>
        <v>0</v>
      </c>
      <c r="AH186" s="1">
        <f t="shared" ref="AH186:AH198" si="165">AD186-AF186</f>
        <v>-130</v>
      </c>
      <c r="AJ186">
        <f t="shared" ref="AJ186:AJ198" si="166">IF(T186=1,P186-U186,0)</f>
        <v>0</v>
      </c>
      <c r="AK186">
        <f t="shared" ref="AK186:AK198" si="167">IF(T186=2,P186-U186,0)</f>
        <v>0</v>
      </c>
      <c r="AL186">
        <f t="shared" ref="AL186:AL198" si="168">IF(T186=3,P186-U186,0)</f>
        <v>0</v>
      </c>
      <c r="AM186">
        <f t="shared" ref="AM186:AM198" si="169">IF(T186=4,P186-U186,0)</f>
        <v>0</v>
      </c>
      <c r="AO186">
        <f t="shared" ref="AO186:AO198" si="170">IF(T186=1,P186-U186,0)</f>
        <v>0</v>
      </c>
      <c r="AP186">
        <f t="shared" ref="AP186:AP198" si="171">IF(T186=2,P186-U186,0)</f>
        <v>0</v>
      </c>
      <c r="AQ186">
        <f t="shared" ref="AQ186:AQ198" si="172">IF(T186=3,P186-U186,0)</f>
        <v>0</v>
      </c>
      <c r="AR186">
        <f t="shared" ref="AR186:AR198" si="173">IF(T186=4,P186-U186,0)</f>
        <v>0</v>
      </c>
    </row>
    <row r="187" spans="1:45" x14ac:dyDescent="0.25">
      <c r="B187" s="82" t="s">
        <v>82</v>
      </c>
      <c r="C187" s="8" t="s">
        <v>42</v>
      </c>
      <c r="D187" s="8"/>
      <c r="E187" t="s">
        <v>42</v>
      </c>
      <c r="F187">
        <f>IF(E187=$B$12,I187,0)</f>
        <v>0</v>
      </c>
      <c r="G187">
        <f t="shared" si="155"/>
        <v>1</v>
      </c>
      <c r="H187" t="s">
        <v>669</v>
      </c>
      <c r="I187" s="8">
        <v>0</v>
      </c>
      <c r="L187" t="s">
        <v>55</v>
      </c>
      <c r="M187" s="5">
        <v>3</v>
      </c>
      <c r="N187" s="4" t="s">
        <v>36</v>
      </c>
      <c r="P187" s="86">
        <v>0</v>
      </c>
      <c r="Q187" s="1">
        <f t="shared" si="156"/>
        <v>0</v>
      </c>
      <c r="R187">
        <f t="shared" si="157"/>
        <v>0</v>
      </c>
      <c r="S187" s="6"/>
      <c r="T187" s="61">
        <v>1</v>
      </c>
      <c r="U187" s="61">
        <f t="shared" si="158"/>
        <v>0</v>
      </c>
      <c r="V187" s="7" t="str">
        <f t="shared" si="159"/>
        <v>NONE</v>
      </c>
      <c r="W187" s="56"/>
      <c r="X187" s="5"/>
      <c r="Y187" s="61">
        <f t="shared" si="160"/>
        <v>0</v>
      </c>
      <c r="Z187" s="61"/>
      <c r="AA187" s="1">
        <f t="shared" si="161"/>
        <v>0</v>
      </c>
      <c r="AB187" s="1">
        <f t="shared" si="162"/>
        <v>0</v>
      </c>
      <c r="AC187" s="1"/>
      <c r="AD187" s="65">
        <f t="shared" si="163"/>
        <v>0</v>
      </c>
      <c r="AE187" s="1"/>
      <c r="AF187" s="1">
        <f t="shared" si="164"/>
        <v>0</v>
      </c>
      <c r="AG187" s="1">
        <f>IF(AH187&gt;0,AH82:AH187,0)</f>
        <v>0</v>
      </c>
      <c r="AH187" s="1">
        <f t="shared" si="165"/>
        <v>0</v>
      </c>
      <c r="AJ187">
        <f t="shared" si="166"/>
        <v>0</v>
      </c>
      <c r="AK187">
        <f t="shared" si="167"/>
        <v>0</v>
      </c>
      <c r="AL187">
        <f t="shared" si="168"/>
        <v>0</v>
      </c>
      <c r="AM187">
        <f t="shared" si="169"/>
        <v>0</v>
      </c>
      <c r="AO187">
        <f t="shared" si="170"/>
        <v>0</v>
      </c>
      <c r="AP187">
        <f t="shared" si="171"/>
        <v>0</v>
      </c>
      <c r="AQ187">
        <f t="shared" si="172"/>
        <v>0</v>
      </c>
      <c r="AR187">
        <f t="shared" si="173"/>
        <v>0</v>
      </c>
    </row>
    <row r="188" spans="1:45" x14ac:dyDescent="0.25">
      <c r="B188" s="82" t="s">
        <v>82</v>
      </c>
      <c r="C188" s="8" t="s">
        <v>42</v>
      </c>
      <c r="D188" s="8"/>
      <c r="E188" t="s">
        <v>42</v>
      </c>
      <c r="F188">
        <f>IF(E188=$B$12,I188,0)</f>
        <v>0</v>
      </c>
      <c r="G188">
        <f t="shared" si="155"/>
        <v>1</v>
      </c>
      <c r="H188" s="121" t="s">
        <v>671</v>
      </c>
      <c r="I188" s="8">
        <v>0</v>
      </c>
      <c r="L188" t="s">
        <v>55</v>
      </c>
      <c r="M188" s="5">
        <v>3</v>
      </c>
      <c r="N188" s="4" t="s">
        <v>36</v>
      </c>
      <c r="P188" s="86">
        <v>0</v>
      </c>
      <c r="Q188" s="1">
        <f t="shared" si="156"/>
        <v>0</v>
      </c>
      <c r="R188">
        <f t="shared" si="157"/>
        <v>0</v>
      </c>
      <c r="T188" s="61">
        <v>1</v>
      </c>
      <c r="U188" s="61">
        <f t="shared" si="158"/>
        <v>0</v>
      </c>
      <c r="V188" s="7" t="str">
        <f t="shared" si="159"/>
        <v>NONE</v>
      </c>
      <c r="W188" s="56"/>
      <c r="X188" s="5"/>
      <c r="Y188" s="61">
        <f t="shared" si="160"/>
        <v>0</v>
      </c>
      <c r="Z188" s="61"/>
      <c r="AA188" s="1">
        <f t="shared" si="161"/>
        <v>0</v>
      </c>
      <c r="AB188" s="1">
        <f t="shared" si="162"/>
        <v>0</v>
      </c>
      <c r="AC188" s="1"/>
      <c r="AD188" s="65">
        <f t="shared" si="163"/>
        <v>0</v>
      </c>
      <c r="AE188" s="1"/>
      <c r="AF188" s="1">
        <f t="shared" si="164"/>
        <v>0</v>
      </c>
      <c r="AG188" s="1">
        <f>IF(AH188&gt;0,AH83:AH196,0)</f>
        <v>0</v>
      </c>
      <c r="AH188" s="1">
        <f t="shared" si="165"/>
        <v>0</v>
      </c>
      <c r="AJ188">
        <f t="shared" si="166"/>
        <v>0</v>
      </c>
      <c r="AK188">
        <f t="shared" si="167"/>
        <v>0</v>
      </c>
      <c r="AL188">
        <f t="shared" si="168"/>
        <v>0</v>
      </c>
      <c r="AM188">
        <f t="shared" si="169"/>
        <v>0</v>
      </c>
      <c r="AO188">
        <f t="shared" si="170"/>
        <v>0</v>
      </c>
      <c r="AP188">
        <f t="shared" si="171"/>
        <v>0</v>
      </c>
      <c r="AQ188">
        <f t="shared" si="172"/>
        <v>0</v>
      </c>
      <c r="AR188">
        <f t="shared" si="173"/>
        <v>0</v>
      </c>
    </row>
    <row r="189" spans="1:45" x14ac:dyDescent="0.25">
      <c r="B189" s="162" t="s">
        <v>718</v>
      </c>
      <c r="C189" t="s">
        <v>717</v>
      </c>
      <c r="E189" t="s">
        <v>616</v>
      </c>
      <c r="F189">
        <f>IF(E189=$B$12,I189,0)</f>
        <v>0</v>
      </c>
      <c r="G189">
        <f t="shared" si="155"/>
        <v>1</v>
      </c>
      <c r="H189" t="s">
        <v>679</v>
      </c>
      <c r="I189" s="8">
        <v>11</v>
      </c>
      <c r="K189" t="s">
        <v>615</v>
      </c>
      <c r="L189" t="s">
        <v>55</v>
      </c>
      <c r="M189" s="5">
        <v>0</v>
      </c>
      <c r="N189" s="4" t="s">
        <v>36</v>
      </c>
      <c r="P189" s="86">
        <v>-1000</v>
      </c>
      <c r="Q189" s="1">
        <f t="shared" si="156"/>
        <v>-400</v>
      </c>
      <c r="R189">
        <f t="shared" si="157"/>
        <v>0</v>
      </c>
      <c r="S189" s="163" t="s">
        <v>719</v>
      </c>
      <c r="T189" s="61">
        <v>1</v>
      </c>
      <c r="U189" s="61">
        <f t="shared" si="158"/>
        <v>-20</v>
      </c>
      <c r="V189" s="7" t="str">
        <f t="shared" si="159"/>
        <v>PAYPAL</v>
      </c>
      <c r="W189" s="56">
        <v>2</v>
      </c>
      <c r="X189" s="5" t="s">
        <v>721</v>
      </c>
      <c r="Y189" s="61">
        <f t="shared" si="160"/>
        <v>-400</v>
      </c>
      <c r="Z189" s="61"/>
      <c r="AA189" s="1">
        <f t="shared" si="161"/>
        <v>0</v>
      </c>
      <c r="AB189" s="1">
        <f t="shared" si="162"/>
        <v>130</v>
      </c>
      <c r="AC189" s="1"/>
      <c r="AD189" s="65">
        <f t="shared" si="163"/>
        <v>-1150</v>
      </c>
      <c r="AE189" s="1"/>
      <c r="AF189" s="1">
        <f t="shared" si="164"/>
        <v>30</v>
      </c>
      <c r="AG189" s="1">
        <f>IF(AH189&gt;0,AH84:AH189,0)</f>
        <v>0</v>
      </c>
      <c r="AH189" s="1">
        <f t="shared" si="165"/>
        <v>-1180</v>
      </c>
      <c r="AJ189">
        <f t="shared" si="166"/>
        <v>-980</v>
      </c>
      <c r="AK189">
        <f t="shared" si="167"/>
        <v>0</v>
      </c>
      <c r="AL189">
        <f t="shared" si="168"/>
        <v>0</v>
      </c>
      <c r="AM189">
        <f t="shared" si="169"/>
        <v>0</v>
      </c>
      <c r="AO189">
        <f t="shared" si="170"/>
        <v>-980</v>
      </c>
      <c r="AP189">
        <f t="shared" si="171"/>
        <v>0</v>
      </c>
      <c r="AQ189">
        <f t="shared" si="172"/>
        <v>0</v>
      </c>
      <c r="AR189">
        <f t="shared" si="173"/>
        <v>0</v>
      </c>
    </row>
    <row r="190" spans="1:45" x14ac:dyDescent="0.25">
      <c r="B190" s="82" t="s">
        <v>82</v>
      </c>
      <c r="C190" s="8" t="s">
        <v>42</v>
      </c>
      <c r="D190" s="8"/>
      <c r="E190" t="s">
        <v>42</v>
      </c>
      <c r="F190">
        <f>IF(E148=$B$12,I190,0)</f>
        <v>0</v>
      </c>
      <c r="G190">
        <f t="shared" si="155"/>
        <v>1</v>
      </c>
      <c r="H190" s="121" t="s">
        <v>670</v>
      </c>
      <c r="I190" s="8">
        <v>0</v>
      </c>
      <c r="L190" t="s">
        <v>55</v>
      </c>
      <c r="M190" s="5">
        <v>3</v>
      </c>
      <c r="N190" s="4" t="s">
        <v>36</v>
      </c>
      <c r="P190" s="86">
        <v>0</v>
      </c>
      <c r="Q190" s="1">
        <f t="shared" si="156"/>
        <v>0</v>
      </c>
      <c r="R190">
        <f t="shared" si="157"/>
        <v>0</v>
      </c>
      <c r="S190" s="6"/>
      <c r="T190" s="61">
        <v>1</v>
      </c>
      <c r="U190" s="61">
        <f t="shared" si="158"/>
        <v>0</v>
      </c>
      <c r="V190" s="7" t="str">
        <f t="shared" si="159"/>
        <v>NONE</v>
      </c>
      <c r="W190" s="56"/>
      <c r="X190" s="5"/>
      <c r="Y190" s="61">
        <f t="shared" si="160"/>
        <v>0</v>
      </c>
      <c r="Z190" s="61"/>
      <c r="AA190" s="1">
        <f t="shared" si="161"/>
        <v>0</v>
      </c>
      <c r="AB190" s="1">
        <f t="shared" si="162"/>
        <v>0</v>
      </c>
      <c r="AC190" s="1"/>
      <c r="AD190" s="65">
        <f t="shared" si="163"/>
        <v>0</v>
      </c>
      <c r="AE190" s="1"/>
      <c r="AF190" s="1">
        <f t="shared" si="164"/>
        <v>0</v>
      </c>
      <c r="AG190" s="1">
        <f>IF(AH190&gt;0,AH86:AH190,0)</f>
        <v>0</v>
      </c>
      <c r="AH190" s="1">
        <f t="shared" si="165"/>
        <v>0</v>
      </c>
      <c r="AJ190">
        <f t="shared" si="166"/>
        <v>0</v>
      </c>
      <c r="AK190">
        <f t="shared" si="167"/>
        <v>0</v>
      </c>
      <c r="AL190">
        <f t="shared" si="168"/>
        <v>0</v>
      </c>
      <c r="AM190">
        <f t="shared" si="169"/>
        <v>0</v>
      </c>
      <c r="AO190">
        <f t="shared" si="170"/>
        <v>0</v>
      </c>
      <c r="AP190">
        <f t="shared" si="171"/>
        <v>0</v>
      </c>
      <c r="AQ190">
        <f t="shared" si="172"/>
        <v>0</v>
      </c>
      <c r="AR190">
        <f t="shared" si="173"/>
        <v>0</v>
      </c>
    </row>
    <row r="191" spans="1:45" x14ac:dyDescent="0.25">
      <c r="B191" s="121" t="s">
        <v>642</v>
      </c>
      <c r="C191" t="s">
        <v>641</v>
      </c>
      <c r="E191" t="s">
        <v>616</v>
      </c>
      <c r="F191">
        <f t="shared" ref="F191:F206" si="174">IF(E191=$B$12,I191,0)</f>
        <v>0</v>
      </c>
      <c r="G191">
        <f t="shared" si="155"/>
        <v>1</v>
      </c>
      <c r="H191" s="121" t="s">
        <v>640</v>
      </c>
      <c r="I191" s="8">
        <v>19</v>
      </c>
      <c r="K191" t="s">
        <v>103</v>
      </c>
      <c r="L191" t="s">
        <v>55</v>
      </c>
      <c r="M191" s="5">
        <v>0</v>
      </c>
      <c r="N191" s="4" t="s">
        <v>36</v>
      </c>
      <c r="P191" s="86">
        <v>4470</v>
      </c>
      <c r="Q191" s="1">
        <f t="shared" si="156"/>
        <v>1788</v>
      </c>
      <c r="R191">
        <f t="shared" si="157"/>
        <v>3376</v>
      </c>
      <c r="S191" s="6" t="s">
        <v>643</v>
      </c>
      <c r="T191" s="61">
        <v>1</v>
      </c>
      <c r="U191" s="61">
        <f t="shared" si="158"/>
        <v>194</v>
      </c>
      <c r="V191" s="7" t="str">
        <f t="shared" si="159"/>
        <v>PAYPAL</v>
      </c>
      <c r="W191" s="56">
        <v>2</v>
      </c>
      <c r="X191" s="172" t="s">
        <v>763</v>
      </c>
      <c r="Y191" s="61">
        <f t="shared" si="160"/>
        <v>5164</v>
      </c>
      <c r="Z191" s="61"/>
      <c r="AA191" s="1">
        <f t="shared" si="161"/>
        <v>0</v>
      </c>
      <c r="AB191" s="1">
        <f t="shared" si="162"/>
        <v>130</v>
      </c>
      <c r="AC191" s="1"/>
      <c r="AD191" s="65">
        <f t="shared" si="163"/>
        <v>4534</v>
      </c>
      <c r="AE191" s="1"/>
      <c r="AF191" s="1">
        <f t="shared" si="164"/>
        <v>30</v>
      </c>
      <c r="AG191" s="1">
        <f>IF(AH191&gt;0,AH94:AH191,0)</f>
        <v>4504</v>
      </c>
      <c r="AH191" s="1">
        <f t="shared" si="165"/>
        <v>4504</v>
      </c>
      <c r="AJ191">
        <f t="shared" si="166"/>
        <v>4276</v>
      </c>
      <c r="AK191">
        <f t="shared" si="167"/>
        <v>0</v>
      </c>
      <c r="AL191">
        <f t="shared" si="168"/>
        <v>0</v>
      </c>
      <c r="AM191">
        <f t="shared" si="169"/>
        <v>0</v>
      </c>
      <c r="AO191">
        <f t="shared" si="170"/>
        <v>4276</v>
      </c>
      <c r="AP191">
        <f t="shared" si="171"/>
        <v>0</v>
      </c>
      <c r="AQ191">
        <f t="shared" si="172"/>
        <v>0</v>
      </c>
      <c r="AR191">
        <f t="shared" si="173"/>
        <v>0</v>
      </c>
    </row>
    <row r="192" spans="1:45" x14ac:dyDescent="0.25">
      <c r="B192" s="121" t="s">
        <v>512</v>
      </c>
      <c r="C192" t="s">
        <v>513</v>
      </c>
      <c r="E192" t="s">
        <v>370</v>
      </c>
      <c r="F192">
        <f t="shared" si="174"/>
        <v>0</v>
      </c>
      <c r="G192">
        <f t="shared" si="155"/>
        <v>1</v>
      </c>
      <c r="H192" t="s">
        <v>511</v>
      </c>
      <c r="I192">
        <v>9</v>
      </c>
      <c r="K192" t="s">
        <v>80</v>
      </c>
      <c r="L192" t="s">
        <v>55</v>
      </c>
      <c r="M192" s="5">
        <v>0</v>
      </c>
      <c r="N192" s="4" t="s">
        <v>36</v>
      </c>
      <c r="P192" s="86">
        <v>1837</v>
      </c>
      <c r="Q192" s="1">
        <v>770</v>
      </c>
      <c r="R192">
        <f t="shared" si="157"/>
        <v>1658</v>
      </c>
      <c r="S192" s="6" t="s">
        <v>514</v>
      </c>
      <c r="T192" s="61">
        <v>1</v>
      </c>
      <c r="U192" s="61">
        <f t="shared" si="158"/>
        <v>91</v>
      </c>
      <c r="V192" s="7" t="str">
        <f t="shared" si="159"/>
        <v>PAYPAL</v>
      </c>
      <c r="W192" s="56">
        <v>2</v>
      </c>
      <c r="X192" s="5" t="s">
        <v>762</v>
      </c>
      <c r="Y192" s="61">
        <f t="shared" si="160"/>
        <v>2428</v>
      </c>
      <c r="Z192" s="61"/>
      <c r="AA192" s="1">
        <f t="shared" si="161"/>
        <v>0</v>
      </c>
      <c r="AB192" s="1">
        <f t="shared" si="162"/>
        <v>130</v>
      </c>
      <c r="AC192" s="1"/>
      <c r="AD192" s="65">
        <f t="shared" si="163"/>
        <v>1798</v>
      </c>
      <c r="AE192" s="1"/>
      <c r="AF192" s="1">
        <f t="shared" si="164"/>
        <v>30</v>
      </c>
      <c r="AG192" s="1">
        <f>IF(AH192&gt;0,AH73:AH192,0)</f>
        <v>1768</v>
      </c>
      <c r="AH192" s="1">
        <f>AD192-AF192</f>
        <v>1768</v>
      </c>
      <c r="AJ192">
        <f>IF(T192=1,P192-U192,0)</f>
        <v>1746</v>
      </c>
      <c r="AK192">
        <f>IF(T192=2,P192-U192,0)</f>
        <v>0</v>
      </c>
      <c r="AL192">
        <f>IF(T192=3,P192-U192,0)</f>
        <v>0</v>
      </c>
      <c r="AM192">
        <f>IF(T192=4,P192-U192,0)</f>
        <v>0</v>
      </c>
      <c r="AO192">
        <f>IF(T192=1,P192-U192,0)</f>
        <v>1746</v>
      </c>
      <c r="AP192">
        <f>IF(T192=2,P192-U192,0)</f>
        <v>0</v>
      </c>
      <c r="AQ192">
        <f>IF(T192=3,P192-U192,0)</f>
        <v>0</v>
      </c>
      <c r="AR192">
        <f>IF(T192=4,P192-U192,0)</f>
        <v>0</v>
      </c>
    </row>
    <row r="193" spans="2:44" x14ac:dyDescent="0.25">
      <c r="B193" s="8" t="s">
        <v>757</v>
      </c>
      <c r="C193" t="s">
        <v>659</v>
      </c>
      <c r="E193" t="s">
        <v>616</v>
      </c>
      <c r="F193">
        <f t="shared" si="174"/>
        <v>0</v>
      </c>
      <c r="G193">
        <f t="shared" si="155"/>
        <v>1</v>
      </c>
      <c r="H193" t="s">
        <v>660</v>
      </c>
      <c r="I193" s="8">
        <v>7</v>
      </c>
      <c r="K193" t="s">
        <v>98</v>
      </c>
      <c r="L193" t="s">
        <v>55</v>
      </c>
      <c r="M193" s="5">
        <v>0</v>
      </c>
      <c r="N193" s="4" t="s">
        <v>36</v>
      </c>
      <c r="P193" s="86">
        <v>1768</v>
      </c>
      <c r="Q193" s="1">
        <f>ROUND((P193*0.4),0)</f>
        <v>707</v>
      </c>
      <c r="R193">
        <f t="shared" si="157"/>
        <v>1649</v>
      </c>
      <c r="S193" s="6" t="s">
        <v>661</v>
      </c>
      <c r="T193" s="61">
        <v>1</v>
      </c>
      <c r="U193" s="61">
        <f t="shared" si="158"/>
        <v>88</v>
      </c>
      <c r="V193" s="7" t="str">
        <f t="shared" si="159"/>
        <v>PAYPAL</v>
      </c>
      <c r="W193" s="56">
        <v>2</v>
      </c>
      <c r="X193" s="5" t="s">
        <v>25</v>
      </c>
      <c r="Y193" s="61">
        <f t="shared" si="160"/>
        <v>2356</v>
      </c>
      <c r="Z193" s="61"/>
      <c r="AA193" s="1">
        <f t="shared" si="161"/>
        <v>0</v>
      </c>
      <c r="AB193" s="1">
        <f t="shared" si="162"/>
        <v>130</v>
      </c>
      <c r="AC193" s="1"/>
      <c r="AD193" s="65">
        <f t="shared" si="163"/>
        <v>1726</v>
      </c>
      <c r="AE193" s="1"/>
      <c r="AF193" s="1">
        <f t="shared" si="164"/>
        <v>30</v>
      </c>
      <c r="AG193" s="1">
        <f>IF(AH193&gt;0,AH90:AH211,0)</f>
        <v>1696</v>
      </c>
      <c r="AH193" s="1">
        <f>AD193-AF193</f>
        <v>1696</v>
      </c>
      <c r="AJ193">
        <f>IF(T193=1,P193-U193,0)</f>
        <v>1680</v>
      </c>
      <c r="AK193">
        <f>IF(T193=2,P193-U193,0)</f>
        <v>0</v>
      </c>
      <c r="AL193">
        <f>IF(T193=3,P193-U193,0)</f>
        <v>0</v>
      </c>
      <c r="AM193">
        <f>IF(T193=4,P193-U193,0)</f>
        <v>0</v>
      </c>
      <c r="AO193">
        <f>IF(T193=1,P193-U193,0)</f>
        <v>1680</v>
      </c>
      <c r="AP193">
        <f>IF(T193=2,P193-U193,0)</f>
        <v>0</v>
      </c>
      <c r="AQ193">
        <f>IF(T193=3,P193-U193,0)</f>
        <v>0</v>
      </c>
      <c r="AR193">
        <f>IF(T193=4,P193-U193,0)</f>
        <v>0</v>
      </c>
    </row>
    <row r="194" spans="2:44" x14ac:dyDescent="0.25">
      <c r="B194" s="82" t="s">
        <v>82</v>
      </c>
      <c r="C194" s="8" t="s">
        <v>42</v>
      </c>
      <c r="D194" s="8"/>
      <c r="E194" t="s">
        <v>42</v>
      </c>
      <c r="F194">
        <f t="shared" si="174"/>
        <v>7</v>
      </c>
      <c r="G194">
        <f t="shared" si="155"/>
        <v>0</v>
      </c>
      <c r="H194" s="135" t="s">
        <v>644</v>
      </c>
      <c r="I194" s="8">
        <v>7</v>
      </c>
      <c r="J194" s="48"/>
      <c r="K194" t="s">
        <v>63</v>
      </c>
      <c r="L194" s="51" t="s">
        <v>55</v>
      </c>
      <c r="M194" s="51">
        <v>3</v>
      </c>
      <c r="N194" s="4" t="s">
        <v>36</v>
      </c>
      <c r="P194" s="86">
        <v>0</v>
      </c>
      <c r="Q194" s="1">
        <f>ROUND((P194*0.4),0)</f>
        <v>0</v>
      </c>
      <c r="R194">
        <f t="shared" si="157"/>
        <v>0</v>
      </c>
      <c r="S194" s="6"/>
      <c r="T194" s="61"/>
      <c r="U194" s="61">
        <v>0</v>
      </c>
      <c r="V194" s="7" t="str">
        <f t="shared" si="159"/>
        <v>NONE</v>
      </c>
      <c r="W194" s="56"/>
      <c r="X194" s="5"/>
      <c r="Y194" s="61">
        <f t="shared" ref="Y194:Y223" si="175">R194+Q194</f>
        <v>0</v>
      </c>
      <c r="Z194" s="61"/>
      <c r="AA194" s="1">
        <f t="shared" si="161"/>
        <v>0</v>
      </c>
      <c r="AB194" s="1">
        <f t="shared" si="162"/>
        <v>130</v>
      </c>
      <c r="AC194" s="1"/>
      <c r="AD194" s="65">
        <f t="shared" si="163"/>
        <v>-130</v>
      </c>
      <c r="AE194" s="1"/>
      <c r="AF194" s="1">
        <f t="shared" si="164"/>
        <v>0</v>
      </c>
      <c r="AG194" s="1">
        <f>IF(AH194&gt;0,AH98:AH194,0)</f>
        <v>0</v>
      </c>
      <c r="AH194" s="1">
        <f t="shared" si="165"/>
        <v>-130</v>
      </c>
      <c r="AJ194">
        <f t="shared" si="166"/>
        <v>0</v>
      </c>
      <c r="AK194">
        <f t="shared" si="167"/>
        <v>0</v>
      </c>
      <c r="AL194">
        <f t="shared" si="168"/>
        <v>0</v>
      </c>
      <c r="AM194">
        <f t="shared" si="169"/>
        <v>0</v>
      </c>
      <c r="AO194">
        <f t="shared" si="170"/>
        <v>0</v>
      </c>
      <c r="AP194">
        <f t="shared" si="171"/>
        <v>0</v>
      </c>
      <c r="AQ194">
        <f t="shared" si="172"/>
        <v>0</v>
      </c>
      <c r="AR194">
        <f t="shared" si="173"/>
        <v>0</v>
      </c>
    </row>
    <row r="195" spans="2:44" x14ac:dyDescent="0.25">
      <c r="B195" t="s">
        <v>766</v>
      </c>
      <c r="C195" t="s">
        <v>765</v>
      </c>
      <c r="E195" t="s">
        <v>61</v>
      </c>
      <c r="F195">
        <f t="shared" si="174"/>
        <v>0</v>
      </c>
      <c r="G195">
        <f t="shared" si="155"/>
        <v>1</v>
      </c>
      <c r="H195" t="s">
        <v>657</v>
      </c>
      <c r="I195" s="8">
        <v>7</v>
      </c>
      <c r="K195" t="s">
        <v>538</v>
      </c>
      <c r="L195" t="s">
        <v>55</v>
      </c>
      <c r="M195" s="5">
        <v>0</v>
      </c>
      <c r="N195" s="4" t="s">
        <v>36</v>
      </c>
      <c r="P195" s="86">
        <v>1440</v>
      </c>
      <c r="Q195" s="1">
        <v>500</v>
      </c>
      <c r="R195">
        <f t="shared" si="157"/>
        <v>1516</v>
      </c>
      <c r="S195" s="6" t="s">
        <v>658</v>
      </c>
      <c r="T195" s="61">
        <v>2</v>
      </c>
      <c r="U195" s="61">
        <f t="shared" ref="U195:U206" si="176">IF(V195=$AE$2,47,IF(V195=$AE$1,ROUND(((P195+500)*0.039),0),IF(V195=$AE$3,0)))</f>
        <v>76</v>
      </c>
      <c r="V195" s="7" t="str">
        <f t="shared" si="159"/>
        <v>PAYPAL</v>
      </c>
      <c r="W195" s="56">
        <v>2</v>
      </c>
      <c r="X195" s="173" t="s">
        <v>779</v>
      </c>
      <c r="Y195" s="61">
        <f t="shared" si="175"/>
        <v>2016</v>
      </c>
      <c r="Z195" s="61"/>
      <c r="AA195" s="1">
        <f t="shared" si="161"/>
        <v>0</v>
      </c>
      <c r="AB195" s="1">
        <f t="shared" si="162"/>
        <v>130</v>
      </c>
      <c r="AC195" s="1"/>
      <c r="AD195" s="65">
        <f t="shared" si="163"/>
        <v>1386</v>
      </c>
      <c r="AE195" s="1"/>
      <c r="AF195" s="1">
        <f t="shared" si="164"/>
        <v>30</v>
      </c>
      <c r="AG195" s="1">
        <f>IF(AH195&gt;0,AH93:AH195,0)</f>
        <v>1356</v>
      </c>
      <c r="AH195" s="1">
        <f t="shared" si="165"/>
        <v>1356</v>
      </c>
      <c r="AJ195">
        <f t="shared" si="166"/>
        <v>0</v>
      </c>
      <c r="AK195">
        <f t="shared" si="167"/>
        <v>1364</v>
      </c>
      <c r="AL195">
        <f t="shared" si="168"/>
        <v>0</v>
      </c>
      <c r="AM195">
        <f t="shared" si="169"/>
        <v>0</v>
      </c>
      <c r="AO195">
        <f t="shared" si="170"/>
        <v>0</v>
      </c>
      <c r="AP195">
        <f t="shared" si="171"/>
        <v>1364</v>
      </c>
      <c r="AQ195">
        <f t="shared" si="172"/>
        <v>0</v>
      </c>
      <c r="AR195">
        <f t="shared" si="173"/>
        <v>0</v>
      </c>
    </row>
    <row r="196" spans="2:44" x14ac:dyDescent="0.25">
      <c r="B196" s="82" t="s">
        <v>82</v>
      </c>
      <c r="C196" s="8" t="s">
        <v>42</v>
      </c>
      <c r="D196" s="8"/>
      <c r="E196" t="s">
        <v>42</v>
      </c>
      <c r="F196">
        <f t="shared" si="174"/>
        <v>4</v>
      </c>
      <c r="G196">
        <f t="shared" si="155"/>
        <v>0</v>
      </c>
      <c r="H196" s="83" t="s">
        <v>694</v>
      </c>
      <c r="I196" s="8">
        <v>4</v>
      </c>
      <c r="K196" t="s">
        <v>63</v>
      </c>
      <c r="L196" t="s">
        <v>55</v>
      </c>
      <c r="M196" s="5">
        <v>3</v>
      </c>
      <c r="N196" s="4" t="s">
        <v>36</v>
      </c>
      <c r="P196" s="86">
        <v>0</v>
      </c>
      <c r="Q196" s="1">
        <f>ROUND((P196*0.4),0)</f>
        <v>0</v>
      </c>
      <c r="R196">
        <f t="shared" si="157"/>
        <v>0</v>
      </c>
      <c r="T196" s="61"/>
      <c r="U196" s="61">
        <f t="shared" si="176"/>
        <v>0</v>
      </c>
      <c r="V196" s="7" t="str">
        <f t="shared" si="159"/>
        <v>NONE</v>
      </c>
      <c r="W196" s="56"/>
      <c r="X196" s="5"/>
      <c r="Y196" s="61">
        <f t="shared" si="175"/>
        <v>0</v>
      </c>
      <c r="Z196" s="61"/>
      <c r="AA196" s="1">
        <f t="shared" si="161"/>
        <v>0</v>
      </c>
      <c r="AB196" s="1">
        <f t="shared" si="162"/>
        <v>130</v>
      </c>
      <c r="AC196" s="1"/>
      <c r="AD196" s="65">
        <f t="shared" si="163"/>
        <v>-130</v>
      </c>
      <c r="AE196" s="1"/>
      <c r="AF196" s="1">
        <f t="shared" si="164"/>
        <v>0</v>
      </c>
      <c r="AG196" s="1">
        <f>IF(AH196&gt;0,AH93:AH213,0)</f>
        <v>0</v>
      </c>
      <c r="AH196" s="1">
        <f t="shared" si="165"/>
        <v>-130</v>
      </c>
      <c r="AJ196">
        <f t="shared" si="166"/>
        <v>0</v>
      </c>
      <c r="AK196">
        <f t="shared" si="167"/>
        <v>0</v>
      </c>
      <c r="AL196">
        <f t="shared" si="168"/>
        <v>0</v>
      </c>
      <c r="AM196">
        <f t="shared" si="169"/>
        <v>0</v>
      </c>
      <c r="AO196">
        <f t="shared" si="170"/>
        <v>0</v>
      </c>
      <c r="AP196">
        <f t="shared" si="171"/>
        <v>0</v>
      </c>
      <c r="AQ196">
        <f t="shared" si="172"/>
        <v>0</v>
      </c>
      <c r="AR196">
        <f t="shared" si="173"/>
        <v>0</v>
      </c>
    </row>
    <row r="197" spans="2:44" x14ac:dyDescent="0.25">
      <c r="B197" s="8"/>
      <c r="C197" s="8"/>
      <c r="D197" s="8"/>
      <c r="F197">
        <f t="shared" si="174"/>
        <v>0</v>
      </c>
      <c r="G197">
        <f t="shared" si="155"/>
        <v>1</v>
      </c>
      <c r="I197" s="8"/>
      <c r="L197" t="s">
        <v>55</v>
      </c>
      <c r="M197" s="5">
        <v>0</v>
      </c>
      <c r="N197" s="4" t="s">
        <v>36</v>
      </c>
      <c r="P197" s="86">
        <v>0</v>
      </c>
      <c r="Q197" s="1">
        <f>ROUND((P197*0.4),0)</f>
        <v>0</v>
      </c>
      <c r="R197">
        <f>IF(P197&gt;0,((P197+500)-Q197)+U197,0)</f>
        <v>0</v>
      </c>
      <c r="S197" s="6"/>
      <c r="T197" s="61"/>
      <c r="U197" s="61">
        <f t="shared" si="176"/>
        <v>0</v>
      </c>
      <c r="V197" s="7" t="str">
        <f t="shared" si="159"/>
        <v>NONE</v>
      </c>
      <c r="W197" s="56"/>
      <c r="X197" s="5"/>
      <c r="Y197" s="61">
        <f t="shared" si="175"/>
        <v>0</v>
      </c>
      <c r="Z197" s="61"/>
      <c r="AA197" s="1">
        <f t="shared" si="161"/>
        <v>0</v>
      </c>
      <c r="AB197" s="1">
        <f t="shared" si="162"/>
        <v>0</v>
      </c>
      <c r="AC197" s="1"/>
      <c r="AD197" s="65">
        <f t="shared" si="163"/>
        <v>0</v>
      </c>
      <c r="AE197" s="1"/>
      <c r="AF197" s="1">
        <f t="shared" si="164"/>
        <v>0</v>
      </c>
      <c r="AG197" s="1">
        <f>IF(AH197&gt;0,AH90:AH197,0)</f>
        <v>0</v>
      </c>
      <c r="AH197" s="1">
        <f t="shared" si="165"/>
        <v>0</v>
      </c>
      <c r="AJ197">
        <f t="shared" si="166"/>
        <v>0</v>
      </c>
      <c r="AK197">
        <f t="shared" si="167"/>
        <v>0</v>
      </c>
      <c r="AL197">
        <f t="shared" si="168"/>
        <v>0</v>
      </c>
      <c r="AM197">
        <f t="shared" si="169"/>
        <v>0</v>
      </c>
      <c r="AO197">
        <f t="shared" si="170"/>
        <v>0</v>
      </c>
      <c r="AP197">
        <f t="shared" si="171"/>
        <v>0</v>
      </c>
      <c r="AQ197">
        <f t="shared" si="172"/>
        <v>0</v>
      </c>
      <c r="AR197">
        <f t="shared" si="173"/>
        <v>0</v>
      </c>
    </row>
    <row r="198" spans="2:44" x14ac:dyDescent="0.25">
      <c r="B198" s="8" t="s">
        <v>695</v>
      </c>
      <c r="C198" t="s">
        <v>696</v>
      </c>
      <c r="E198" t="s">
        <v>370</v>
      </c>
      <c r="F198">
        <f t="shared" si="174"/>
        <v>0</v>
      </c>
      <c r="G198">
        <f t="shared" si="155"/>
        <v>1</v>
      </c>
      <c r="H198" s="121" t="s">
        <v>697</v>
      </c>
      <c r="I198" s="8">
        <v>8</v>
      </c>
      <c r="K198" t="s">
        <v>698</v>
      </c>
      <c r="L198" t="s">
        <v>55</v>
      </c>
      <c r="M198" s="5">
        <v>0</v>
      </c>
      <c r="N198" s="4" t="s">
        <v>36</v>
      </c>
      <c r="P198" s="86">
        <v>2073</v>
      </c>
      <c r="Q198" s="1">
        <f>ROUND((P198*0.4),0)</f>
        <v>829</v>
      </c>
      <c r="R198">
        <f t="shared" si="157"/>
        <v>1844</v>
      </c>
      <c r="S198" s="6" t="s">
        <v>699</v>
      </c>
      <c r="T198" s="61">
        <v>2</v>
      </c>
      <c r="U198" s="61">
        <f t="shared" si="176"/>
        <v>100</v>
      </c>
      <c r="V198" s="7" t="str">
        <f t="shared" si="159"/>
        <v>PAYPAL</v>
      </c>
      <c r="W198" s="56">
        <v>2</v>
      </c>
      <c r="X198" s="5" t="s">
        <v>25</v>
      </c>
      <c r="Y198" s="61">
        <f t="shared" si="175"/>
        <v>2673</v>
      </c>
      <c r="Z198" s="61"/>
      <c r="AA198" s="1">
        <f t="shared" si="161"/>
        <v>0</v>
      </c>
      <c r="AB198" s="1">
        <f t="shared" si="162"/>
        <v>130</v>
      </c>
      <c r="AC198" s="1"/>
      <c r="AD198" s="65">
        <f t="shared" si="163"/>
        <v>2043</v>
      </c>
      <c r="AE198" s="1"/>
      <c r="AF198" s="1">
        <f t="shared" si="164"/>
        <v>30</v>
      </c>
      <c r="AG198" s="1">
        <f>IF(AH198&gt;0,AH90:AH208,0)</f>
        <v>2013</v>
      </c>
      <c r="AH198" s="1">
        <f t="shared" si="165"/>
        <v>2013</v>
      </c>
      <c r="AJ198">
        <f t="shared" si="166"/>
        <v>0</v>
      </c>
      <c r="AK198">
        <f t="shared" si="167"/>
        <v>1973</v>
      </c>
      <c r="AL198">
        <f t="shared" si="168"/>
        <v>0</v>
      </c>
      <c r="AM198">
        <f t="shared" si="169"/>
        <v>0</v>
      </c>
      <c r="AO198">
        <f t="shared" si="170"/>
        <v>0</v>
      </c>
      <c r="AP198">
        <f t="shared" si="171"/>
        <v>1973</v>
      </c>
      <c r="AQ198">
        <f t="shared" si="172"/>
        <v>0</v>
      </c>
      <c r="AR198">
        <f t="shared" si="173"/>
        <v>0</v>
      </c>
    </row>
    <row r="199" spans="2:44" x14ac:dyDescent="0.25">
      <c r="B199" s="8" t="s">
        <v>650</v>
      </c>
      <c r="C199" t="s">
        <v>770</v>
      </c>
      <c r="E199" t="s">
        <v>30</v>
      </c>
      <c r="F199">
        <f t="shared" si="174"/>
        <v>0</v>
      </c>
      <c r="G199">
        <f t="shared" si="155"/>
        <v>1</v>
      </c>
      <c r="H199" t="s">
        <v>649</v>
      </c>
      <c r="I199" s="8">
        <v>14</v>
      </c>
      <c r="K199" t="s">
        <v>201</v>
      </c>
      <c r="L199" t="s">
        <v>55</v>
      </c>
      <c r="M199" s="5">
        <v>0</v>
      </c>
      <c r="N199" s="4" t="s">
        <v>36</v>
      </c>
      <c r="P199" s="86">
        <v>3367</v>
      </c>
      <c r="Q199" s="1">
        <f>ROUND((P199*0.4),0)</f>
        <v>1347</v>
      </c>
      <c r="R199">
        <f t="shared" si="157"/>
        <v>2671</v>
      </c>
      <c r="S199" s="6" t="s">
        <v>651</v>
      </c>
      <c r="T199" s="61"/>
      <c r="U199" s="61">
        <f t="shared" si="176"/>
        <v>151</v>
      </c>
      <c r="V199" s="7" t="str">
        <f t="shared" si="159"/>
        <v>PAYPAL</v>
      </c>
      <c r="W199" s="56">
        <v>2</v>
      </c>
      <c r="X199" s="5" t="s">
        <v>780</v>
      </c>
      <c r="Y199" s="61">
        <f t="shared" si="175"/>
        <v>4018</v>
      </c>
      <c r="Z199" s="61"/>
      <c r="AA199" s="1">
        <f t="shared" si="161"/>
        <v>0</v>
      </c>
      <c r="AB199" s="1">
        <f t="shared" si="162"/>
        <v>130</v>
      </c>
      <c r="AC199" s="1"/>
      <c r="AD199" s="65">
        <f t="shared" si="163"/>
        <v>3388</v>
      </c>
      <c r="AE199" s="1"/>
      <c r="AF199" s="1">
        <f t="shared" si="164"/>
        <v>30</v>
      </c>
      <c r="AG199" s="1">
        <f>IF(AH199&gt;0,AH95:AH199,0)</f>
        <v>3358</v>
      </c>
      <c r="AH199" s="1">
        <f t="shared" ref="AH199:AH206" si="177">AD199-AF199</f>
        <v>3358</v>
      </c>
      <c r="AJ199">
        <f t="shared" ref="AJ199:AJ206" si="178">IF(T199=1,P199-U199,0)</f>
        <v>0</v>
      </c>
      <c r="AK199">
        <f t="shared" ref="AK199:AK206" si="179">IF(T199=2,P199-U199,0)</f>
        <v>0</v>
      </c>
      <c r="AL199">
        <f t="shared" ref="AL199:AL206" si="180">IF(T199=3,P199-U199,0)</f>
        <v>0</v>
      </c>
      <c r="AM199">
        <f t="shared" ref="AM199:AM206" si="181">IF(T199=4,P199-U199,0)</f>
        <v>0</v>
      </c>
      <c r="AO199">
        <f t="shared" ref="AO199:AO206" si="182">IF(T199=1,P199-U199,0)</f>
        <v>0</v>
      </c>
      <c r="AP199">
        <f t="shared" ref="AP199:AP206" si="183">IF(T199=2,P199-U199,0)</f>
        <v>0</v>
      </c>
      <c r="AQ199">
        <f t="shared" ref="AQ199:AQ206" si="184">IF(T199=3,P199-U199,0)</f>
        <v>0</v>
      </c>
      <c r="AR199">
        <f t="shared" ref="AR199:AR206" si="185">IF(T199=4,P199-U199,0)</f>
        <v>0</v>
      </c>
    </row>
    <row r="200" spans="2:44" x14ac:dyDescent="0.25">
      <c r="B200" s="82" t="s">
        <v>82</v>
      </c>
      <c r="C200" s="8" t="s">
        <v>42</v>
      </c>
      <c r="D200" s="8"/>
      <c r="E200" t="s">
        <v>42</v>
      </c>
      <c r="F200">
        <f t="shared" si="174"/>
        <v>3</v>
      </c>
      <c r="G200">
        <f t="shared" si="155"/>
        <v>0</v>
      </c>
      <c r="H200" s="83" t="s">
        <v>510</v>
      </c>
      <c r="I200" s="8">
        <v>3</v>
      </c>
      <c r="K200" t="s">
        <v>63</v>
      </c>
      <c r="L200" s="51" t="s">
        <v>55</v>
      </c>
      <c r="M200" s="51">
        <v>3</v>
      </c>
      <c r="N200" s="4" t="s">
        <v>36</v>
      </c>
      <c r="P200" s="86">
        <v>0</v>
      </c>
      <c r="Q200" s="1">
        <f>ROUND((P200*0.4),0)</f>
        <v>0</v>
      </c>
      <c r="R200">
        <f t="shared" ref="R200:R210" si="186">IF(P200&gt;0,((P200+500)-Q200)+U200,0)</f>
        <v>0</v>
      </c>
      <c r="S200" s="6"/>
      <c r="T200" s="61"/>
      <c r="U200" s="61">
        <f t="shared" si="176"/>
        <v>0</v>
      </c>
      <c r="V200" s="7" t="str">
        <f t="shared" si="159"/>
        <v>NONE</v>
      </c>
      <c r="W200" s="56"/>
      <c r="X200" s="5"/>
      <c r="Y200" s="61">
        <f t="shared" si="175"/>
        <v>0</v>
      </c>
      <c r="Z200" s="61"/>
      <c r="AA200" s="1">
        <f t="shared" si="161"/>
        <v>0</v>
      </c>
      <c r="AB200" s="1">
        <f t="shared" si="162"/>
        <v>130</v>
      </c>
      <c r="AC200" s="1"/>
      <c r="AD200" s="65">
        <f t="shared" si="163"/>
        <v>-130</v>
      </c>
      <c r="AE200" s="1"/>
      <c r="AF200" s="1">
        <f t="shared" si="164"/>
        <v>0</v>
      </c>
      <c r="AG200" s="1">
        <f>IF(AH200&gt;0,AH97:AH200,0)</f>
        <v>0</v>
      </c>
      <c r="AH200" s="1">
        <f t="shared" si="177"/>
        <v>-130</v>
      </c>
      <c r="AJ200">
        <f t="shared" si="178"/>
        <v>0</v>
      </c>
      <c r="AK200">
        <f t="shared" si="179"/>
        <v>0</v>
      </c>
      <c r="AL200">
        <f t="shared" si="180"/>
        <v>0</v>
      </c>
      <c r="AM200">
        <f t="shared" si="181"/>
        <v>0</v>
      </c>
      <c r="AO200">
        <f t="shared" si="182"/>
        <v>0</v>
      </c>
      <c r="AP200">
        <f t="shared" si="183"/>
        <v>0</v>
      </c>
      <c r="AQ200">
        <f t="shared" si="184"/>
        <v>0</v>
      </c>
      <c r="AR200">
        <f t="shared" si="185"/>
        <v>0</v>
      </c>
    </row>
    <row r="201" spans="2:44" x14ac:dyDescent="0.25">
      <c r="B201" s="146" t="s">
        <v>736</v>
      </c>
      <c r="C201" t="s">
        <v>728</v>
      </c>
      <c r="E201" t="s">
        <v>616</v>
      </c>
      <c r="F201">
        <f t="shared" si="174"/>
        <v>0</v>
      </c>
      <c r="G201">
        <f t="shared" si="155"/>
        <v>1</v>
      </c>
      <c r="H201" t="s">
        <v>735</v>
      </c>
      <c r="I201" s="8">
        <v>4</v>
      </c>
      <c r="K201" t="s">
        <v>729</v>
      </c>
      <c r="L201" t="s">
        <v>55</v>
      </c>
      <c r="M201" s="5">
        <v>0</v>
      </c>
      <c r="N201" s="4" t="s">
        <v>36</v>
      </c>
      <c r="P201" s="86">
        <v>1248.3</v>
      </c>
      <c r="Q201" s="1">
        <v>624.15</v>
      </c>
      <c r="R201">
        <f t="shared" si="186"/>
        <v>1124.1500000000001</v>
      </c>
      <c r="S201" s="6" t="s">
        <v>734</v>
      </c>
      <c r="T201" s="61"/>
      <c r="U201" s="61">
        <f t="shared" si="176"/>
        <v>0</v>
      </c>
      <c r="V201" s="7" t="str">
        <f t="shared" si="159"/>
        <v>NONE</v>
      </c>
      <c r="W201" s="56"/>
      <c r="X201" s="5" t="s">
        <v>788</v>
      </c>
      <c r="Y201" s="165">
        <f t="shared" si="175"/>
        <v>1748.3000000000002</v>
      </c>
      <c r="Z201" s="61"/>
      <c r="AA201" s="1">
        <f t="shared" si="161"/>
        <v>0</v>
      </c>
      <c r="AB201" s="1">
        <f t="shared" si="162"/>
        <v>130</v>
      </c>
      <c r="AC201" s="1"/>
      <c r="AD201" s="65">
        <f t="shared" si="163"/>
        <v>1118.3</v>
      </c>
      <c r="AE201" s="1"/>
      <c r="AF201" s="1">
        <f t="shared" si="164"/>
        <v>30</v>
      </c>
      <c r="AG201" s="1">
        <f>IF(AH201&gt;0,AH93:AH201,0)</f>
        <v>1088.3</v>
      </c>
      <c r="AH201" s="1">
        <f t="shared" si="177"/>
        <v>1088.3</v>
      </c>
      <c r="AJ201">
        <f t="shared" si="178"/>
        <v>0</v>
      </c>
      <c r="AK201">
        <f t="shared" si="179"/>
        <v>0</v>
      </c>
      <c r="AL201">
        <f t="shared" si="180"/>
        <v>0</v>
      </c>
      <c r="AM201">
        <f t="shared" si="181"/>
        <v>0</v>
      </c>
      <c r="AO201">
        <f t="shared" si="182"/>
        <v>0</v>
      </c>
      <c r="AP201">
        <f t="shared" si="183"/>
        <v>0</v>
      </c>
      <c r="AQ201">
        <f t="shared" si="184"/>
        <v>0</v>
      </c>
      <c r="AR201">
        <f t="shared" si="185"/>
        <v>0</v>
      </c>
    </row>
    <row r="202" spans="2:44" x14ac:dyDescent="0.25">
      <c r="B202" s="161" t="s">
        <v>787</v>
      </c>
      <c r="C202" s="121" t="s">
        <v>764</v>
      </c>
      <c r="D202" s="121"/>
      <c r="E202" t="s">
        <v>616</v>
      </c>
      <c r="F202">
        <f t="shared" si="174"/>
        <v>0</v>
      </c>
      <c r="G202">
        <f t="shared" si="155"/>
        <v>1</v>
      </c>
      <c r="H202" t="s">
        <v>665</v>
      </c>
      <c r="I202" s="8">
        <v>7</v>
      </c>
      <c r="K202" t="s">
        <v>363</v>
      </c>
      <c r="L202" t="s">
        <v>55</v>
      </c>
      <c r="M202" s="5">
        <v>0</v>
      </c>
      <c r="N202" s="4" t="s">
        <v>36</v>
      </c>
      <c r="P202" s="86">
        <v>1619</v>
      </c>
      <c r="Q202" s="1">
        <f t="shared" ref="Q202:Q223" si="187">ROUND((P202*0.4),0)</f>
        <v>648</v>
      </c>
      <c r="R202">
        <f t="shared" si="186"/>
        <v>1554</v>
      </c>
      <c r="S202" s="6" t="s">
        <v>667</v>
      </c>
      <c r="T202" s="61"/>
      <c r="U202" s="61">
        <f t="shared" si="176"/>
        <v>83</v>
      </c>
      <c r="V202" s="7" t="str">
        <f t="shared" si="159"/>
        <v>PAYPAL</v>
      </c>
      <c r="W202" s="56">
        <v>2</v>
      </c>
      <c r="X202" s="5" t="s">
        <v>162</v>
      </c>
      <c r="Y202" s="61">
        <f t="shared" si="175"/>
        <v>2202</v>
      </c>
      <c r="Z202" s="61"/>
      <c r="AA202" s="1">
        <f t="shared" si="161"/>
        <v>0</v>
      </c>
      <c r="AB202" s="1">
        <f t="shared" si="162"/>
        <v>130</v>
      </c>
      <c r="AC202" s="1"/>
      <c r="AD202" s="65">
        <f t="shared" si="163"/>
        <v>1572</v>
      </c>
      <c r="AE202" s="1"/>
      <c r="AF202" s="1">
        <f t="shared" si="164"/>
        <v>30</v>
      </c>
      <c r="AG202" s="1">
        <f>IF(AH202&gt;0,AH95:AH202,0)</f>
        <v>1542</v>
      </c>
      <c r="AH202" s="1">
        <f t="shared" si="177"/>
        <v>1542</v>
      </c>
      <c r="AJ202">
        <f t="shared" si="178"/>
        <v>0</v>
      </c>
      <c r="AK202">
        <f t="shared" si="179"/>
        <v>0</v>
      </c>
      <c r="AL202">
        <f t="shared" si="180"/>
        <v>0</v>
      </c>
      <c r="AM202">
        <f t="shared" si="181"/>
        <v>0</v>
      </c>
      <c r="AO202">
        <f t="shared" si="182"/>
        <v>0</v>
      </c>
      <c r="AP202">
        <f t="shared" si="183"/>
        <v>0</v>
      </c>
      <c r="AQ202">
        <f t="shared" si="184"/>
        <v>0</v>
      </c>
      <c r="AR202">
        <f t="shared" si="185"/>
        <v>0</v>
      </c>
    </row>
    <row r="203" spans="2:44" x14ac:dyDescent="0.25">
      <c r="B203" s="120" t="s">
        <v>739</v>
      </c>
      <c r="C203" t="s">
        <v>740</v>
      </c>
      <c r="E203" t="s">
        <v>61</v>
      </c>
      <c r="F203">
        <f t="shared" si="174"/>
        <v>0</v>
      </c>
      <c r="G203">
        <f t="shared" si="155"/>
        <v>1</v>
      </c>
      <c r="H203" s="121" t="s">
        <v>738</v>
      </c>
      <c r="I203" s="8">
        <v>14</v>
      </c>
      <c r="K203" t="s">
        <v>103</v>
      </c>
      <c r="L203" t="s">
        <v>55</v>
      </c>
      <c r="M203" s="5">
        <v>0</v>
      </c>
      <c r="N203" s="4" t="s">
        <v>36</v>
      </c>
      <c r="P203" s="86">
        <v>2923</v>
      </c>
      <c r="Q203" s="1">
        <f t="shared" si="187"/>
        <v>1169</v>
      </c>
      <c r="R203">
        <f t="shared" si="186"/>
        <v>2387</v>
      </c>
      <c r="S203" s="6" t="s">
        <v>666</v>
      </c>
      <c r="T203" s="61"/>
      <c r="U203" s="61">
        <f t="shared" si="176"/>
        <v>133</v>
      </c>
      <c r="V203" s="7" t="str">
        <f t="shared" si="159"/>
        <v>PAYPAL</v>
      </c>
      <c r="W203" s="56">
        <v>2</v>
      </c>
      <c r="X203" s="87" t="s">
        <v>25</v>
      </c>
      <c r="Y203" s="61">
        <f t="shared" si="175"/>
        <v>3556</v>
      </c>
      <c r="Z203" s="61"/>
      <c r="AA203" s="1">
        <f t="shared" si="161"/>
        <v>0</v>
      </c>
      <c r="AB203" s="1">
        <f t="shared" si="162"/>
        <v>130</v>
      </c>
      <c r="AC203" s="1"/>
      <c r="AD203" s="65">
        <f t="shared" si="163"/>
        <v>2926</v>
      </c>
      <c r="AE203" s="1"/>
      <c r="AF203" s="1">
        <f t="shared" si="164"/>
        <v>30</v>
      </c>
      <c r="AG203" s="1">
        <f>IF(AH203&gt;0,AH95:AH215,0)</f>
        <v>2896</v>
      </c>
      <c r="AH203" s="1">
        <f t="shared" si="177"/>
        <v>2896</v>
      </c>
      <c r="AJ203">
        <f t="shared" si="178"/>
        <v>0</v>
      </c>
      <c r="AK203">
        <f t="shared" si="179"/>
        <v>0</v>
      </c>
      <c r="AL203">
        <f t="shared" si="180"/>
        <v>0</v>
      </c>
      <c r="AM203">
        <f t="shared" si="181"/>
        <v>0</v>
      </c>
      <c r="AO203">
        <f t="shared" si="182"/>
        <v>0</v>
      </c>
      <c r="AP203">
        <f t="shared" si="183"/>
        <v>0</v>
      </c>
      <c r="AQ203">
        <f t="shared" si="184"/>
        <v>0</v>
      </c>
      <c r="AR203">
        <f t="shared" si="185"/>
        <v>0</v>
      </c>
    </row>
    <row r="204" spans="2:44" ht="13.15" customHeight="1" x14ac:dyDescent="0.25">
      <c r="B204" s="82" t="s">
        <v>82</v>
      </c>
      <c r="C204" s="8" t="s">
        <v>42</v>
      </c>
      <c r="D204" s="8"/>
      <c r="E204" t="s">
        <v>42</v>
      </c>
      <c r="F204">
        <f t="shared" si="174"/>
        <v>2</v>
      </c>
      <c r="G204">
        <f t="shared" si="155"/>
        <v>0</v>
      </c>
      <c r="H204" s="158" t="s">
        <v>672</v>
      </c>
      <c r="I204" s="8">
        <v>2</v>
      </c>
      <c r="K204" t="s">
        <v>639</v>
      </c>
      <c r="L204" t="s">
        <v>55</v>
      </c>
      <c r="M204" s="5">
        <v>3</v>
      </c>
      <c r="N204" s="4" t="s">
        <v>36</v>
      </c>
      <c r="P204" s="86">
        <v>0</v>
      </c>
      <c r="Q204" s="1">
        <f t="shared" si="187"/>
        <v>0</v>
      </c>
      <c r="R204">
        <f t="shared" si="186"/>
        <v>0</v>
      </c>
      <c r="S204" s="6"/>
      <c r="T204" s="61"/>
      <c r="U204" s="61">
        <f t="shared" si="176"/>
        <v>0</v>
      </c>
      <c r="V204" s="7" t="str">
        <f t="shared" si="159"/>
        <v>NONE</v>
      </c>
      <c r="W204" s="56"/>
      <c r="X204" s="5"/>
      <c r="Y204" s="61">
        <f t="shared" si="175"/>
        <v>0</v>
      </c>
      <c r="Z204" s="61"/>
      <c r="AA204" s="1">
        <f t="shared" si="161"/>
        <v>0</v>
      </c>
      <c r="AB204" s="1">
        <f t="shared" si="162"/>
        <v>130</v>
      </c>
      <c r="AC204" s="1"/>
      <c r="AD204" s="65">
        <f t="shared" si="163"/>
        <v>-130</v>
      </c>
      <c r="AE204" s="1"/>
      <c r="AF204" s="1">
        <f t="shared" si="164"/>
        <v>0</v>
      </c>
      <c r="AG204" s="1">
        <f>IF(AH204&gt;0,AH98:AH204,0)</f>
        <v>0</v>
      </c>
      <c r="AH204" s="1">
        <f t="shared" si="177"/>
        <v>-130</v>
      </c>
      <c r="AJ204">
        <f t="shared" si="178"/>
        <v>0</v>
      </c>
      <c r="AK204">
        <f t="shared" si="179"/>
        <v>0</v>
      </c>
      <c r="AL204">
        <f t="shared" si="180"/>
        <v>0</v>
      </c>
      <c r="AM204">
        <f t="shared" si="181"/>
        <v>0</v>
      </c>
      <c r="AO204">
        <f t="shared" si="182"/>
        <v>0</v>
      </c>
      <c r="AP204">
        <f t="shared" si="183"/>
        <v>0</v>
      </c>
      <c r="AQ204">
        <f t="shared" si="184"/>
        <v>0</v>
      </c>
      <c r="AR204">
        <f t="shared" si="185"/>
        <v>0</v>
      </c>
    </row>
    <row r="205" spans="2:44" x14ac:dyDescent="0.25">
      <c r="B205" s="8" t="s">
        <v>811</v>
      </c>
      <c r="C205" t="s">
        <v>561</v>
      </c>
      <c r="E205" t="s">
        <v>370</v>
      </c>
      <c r="F205">
        <f t="shared" si="174"/>
        <v>0</v>
      </c>
      <c r="G205">
        <f t="shared" si="155"/>
        <v>1</v>
      </c>
      <c r="H205" t="s">
        <v>678</v>
      </c>
      <c r="I205" s="8">
        <v>8</v>
      </c>
      <c r="K205" t="s">
        <v>74</v>
      </c>
      <c r="L205" t="s">
        <v>55</v>
      </c>
      <c r="M205" s="87">
        <v>0</v>
      </c>
      <c r="N205" s="4" t="s">
        <v>36</v>
      </c>
      <c r="P205" s="86">
        <v>1784</v>
      </c>
      <c r="Q205" s="1">
        <f t="shared" si="187"/>
        <v>714</v>
      </c>
      <c r="R205">
        <f t="shared" si="186"/>
        <v>1659</v>
      </c>
      <c r="S205" s="6" t="s">
        <v>677</v>
      </c>
      <c r="T205" s="61"/>
      <c r="U205" s="61">
        <f t="shared" si="176"/>
        <v>89</v>
      </c>
      <c r="V205" s="7" t="str">
        <f t="shared" si="159"/>
        <v>PAYPAL</v>
      </c>
      <c r="W205" s="56">
        <v>2</v>
      </c>
      <c r="X205" s="5" t="s">
        <v>162</v>
      </c>
      <c r="Y205" s="61">
        <f t="shared" si="175"/>
        <v>2373</v>
      </c>
      <c r="Z205" s="61"/>
      <c r="AA205" s="1">
        <f t="shared" si="161"/>
        <v>0</v>
      </c>
      <c r="AB205" s="1">
        <f t="shared" si="162"/>
        <v>130</v>
      </c>
      <c r="AC205" s="1"/>
      <c r="AD205" s="65">
        <f t="shared" si="163"/>
        <v>1743</v>
      </c>
      <c r="AE205" s="1"/>
      <c r="AF205" s="1">
        <f t="shared" si="164"/>
        <v>30</v>
      </c>
      <c r="AG205" s="1">
        <f>IF(AH205&gt;0,AH98:AH205,0)</f>
        <v>1713</v>
      </c>
      <c r="AH205" s="1">
        <f t="shared" si="177"/>
        <v>1713</v>
      </c>
      <c r="AJ205">
        <f t="shared" si="178"/>
        <v>0</v>
      </c>
      <c r="AK205">
        <f t="shared" si="179"/>
        <v>0</v>
      </c>
      <c r="AL205">
        <f t="shared" si="180"/>
        <v>0</v>
      </c>
      <c r="AM205">
        <f t="shared" si="181"/>
        <v>0</v>
      </c>
      <c r="AO205">
        <f t="shared" si="182"/>
        <v>0</v>
      </c>
      <c r="AP205">
        <f t="shared" si="183"/>
        <v>0</v>
      </c>
      <c r="AQ205">
        <f t="shared" si="184"/>
        <v>0</v>
      </c>
      <c r="AR205">
        <f t="shared" si="185"/>
        <v>0</v>
      </c>
    </row>
    <row r="206" spans="2:44" x14ac:dyDescent="0.25">
      <c r="B206" s="8" t="s">
        <v>758</v>
      </c>
      <c r="C206" t="s">
        <v>759</v>
      </c>
      <c r="E206" t="s">
        <v>370</v>
      </c>
      <c r="F206">
        <f t="shared" si="174"/>
        <v>0</v>
      </c>
      <c r="G206">
        <f t="shared" si="155"/>
        <v>1</v>
      </c>
      <c r="H206" t="s">
        <v>760</v>
      </c>
      <c r="I206" s="8">
        <v>6</v>
      </c>
      <c r="K206" t="s">
        <v>74</v>
      </c>
      <c r="L206" t="s">
        <v>55</v>
      </c>
      <c r="M206" s="5">
        <v>0</v>
      </c>
      <c r="N206" s="4" t="s">
        <v>36</v>
      </c>
      <c r="P206" s="86">
        <v>1557.87</v>
      </c>
      <c r="Q206" s="1">
        <v>778.94</v>
      </c>
      <c r="R206">
        <f t="shared" si="186"/>
        <v>1278.9299999999998</v>
      </c>
      <c r="S206" s="6" t="s">
        <v>761</v>
      </c>
      <c r="T206" s="61"/>
      <c r="U206" s="61">
        <f t="shared" si="176"/>
        <v>0</v>
      </c>
      <c r="V206" s="7" t="str">
        <f t="shared" si="159"/>
        <v>NONE</v>
      </c>
      <c r="W206" s="56"/>
      <c r="X206" s="174" t="s">
        <v>812</v>
      </c>
      <c r="Y206" s="165">
        <f t="shared" si="175"/>
        <v>2057.87</v>
      </c>
      <c r="Z206" s="61"/>
      <c r="AA206" s="1">
        <f t="shared" si="161"/>
        <v>0</v>
      </c>
      <c r="AB206" s="1">
        <f t="shared" si="162"/>
        <v>130</v>
      </c>
      <c r="AC206" s="1"/>
      <c r="AD206" s="65">
        <f t="shared" si="163"/>
        <v>1427.87</v>
      </c>
      <c r="AE206" s="1"/>
      <c r="AF206" s="1">
        <f t="shared" si="164"/>
        <v>30</v>
      </c>
      <c r="AG206" s="1">
        <f>IF(AH206&gt;0,AH98:AH206,0)</f>
        <v>1397.87</v>
      </c>
      <c r="AH206" s="1">
        <f t="shared" si="177"/>
        <v>1397.87</v>
      </c>
      <c r="AJ206">
        <f t="shared" si="178"/>
        <v>0</v>
      </c>
      <c r="AK206">
        <f t="shared" si="179"/>
        <v>0</v>
      </c>
      <c r="AL206">
        <f t="shared" si="180"/>
        <v>0</v>
      </c>
      <c r="AM206">
        <f t="shared" si="181"/>
        <v>0</v>
      </c>
      <c r="AO206">
        <f t="shared" si="182"/>
        <v>0</v>
      </c>
      <c r="AP206">
        <f t="shared" si="183"/>
        <v>0</v>
      </c>
      <c r="AQ206">
        <f t="shared" si="184"/>
        <v>0</v>
      </c>
      <c r="AR206">
        <f t="shared" si="185"/>
        <v>0</v>
      </c>
    </row>
    <row r="207" spans="2:44" x14ac:dyDescent="0.25">
      <c r="B207" s="82" t="s">
        <v>82</v>
      </c>
      <c r="C207" s="8" t="s">
        <v>42</v>
      </c>
      <c r="D207" s="8"/>
      <c r="E207" t="s">
        <v>42</v>
      </c>
      <c r="F207">
        <f t="shared" ref="F207:F223" si="188">IF(E207=$B$12,I207,0)</f>
        <v>25</v>
      </c>
      <c r="G207">
        <f t="shared" ref="G207:G223" si="189">IF(F207&gt;0,0,1)</f>
        <v>0</v>
      </c>
      <c r="H207" s="83" t="s">
        <v>797</v>
      </c>
      <c r="I207" s="8">
        <v>25</v>
      </c>
      <c r="K207" t="s">
        <v>639</v>
      </c>
      <c r="L207" t="s">
        <v>55</v>
      </c>
      <c r="M207" s="5">
        <v>3</v>
      </c>
      <c r="N207" s="4" t="s">
        <v>36</v>
      </c>
      <c r="P207" s="86">
        <v>0</v>
      </c>
      <c r="Q207" s="1">
        <f t="shared" si="187"/>
        <v>0</v>
      </c>
      <c r="R207">
        <f t="shared" si="186"/>
        <v>0</v>
      </c>
      <c r="S207" s="6"/>
      <c r="T207" s="61"/>
      <c r="U207" s="61">
        <f t="shared" ref="U207:U223" si="190">IF(V207=$AE$2,47,IF(V207=$AE$1,ROUND(((P207+500)*0.039),0),IF(V207=$AE$3,0)))</f>
        <v>0</v>
      </c>
      <c r="V207" s="7" t="str">
        <f t="shared" ref="V207:V223" si="191">IF(W207=1,$AE$2,IF(W207=2,$AE$1,IF(AND(W207&lt;&gt;1,W207&lt;&gt;20)=TRUE,$AE$3)))</f>
        <v>NONE</v>
      </c>
      <c r="W207" s="56"/>
      <c r="X207" s="5"/>
      <c r="Y207" s="61">
        <f t="shared" si="175"/>
        <v>0</v>
      </c>
      <c r="Z207" s="61"/>
      <c r="AA207" s="1">
        <f t="shared" ref="AA207:AA223" si="192">IF(X207=$AA$1,R207-500,0)</f>
        <v>0</v>
      </c>
      <c r="AB207" s="1">
        <f t="shared" ref="AB207:AB223" si="193">IF(I207&gt;0,130,0)</f>
        <v>130</v>
      </c>
      <c r="AC207" s="1"/>
      <c r="AD207" s="65">
        <f t="shared" ref="AD207:AD223" si="194">(P207+U207)-AB207</f>
        <v>-130</v>
      </c>
      <c r="AE207" s="1"/>
      <c r="AF207" s="1">
        <f t="shared" ref="AF207:AF223" si="195">IF(I207&gt;0,30*G207,0)</f>
        <v>0</v>
      </c>
      <c r="AG207" s="1">
        <f>IF(AH207&gt;0,AH99:AH207,0)</f>
        <v>0</v>
      </c>
      <c r="AH207" s="1">
        <f t="shared" ref="AH207:AH223" si="196">AD207-AF207</f>
        <v>-130</v>
      </c>
      <c r="AJ207">
        <f t="shared" ref="AJ207:AJ223" si="197">IF(T207=1,P207-U207,0)</f>
        <v>0</v>
      </c>
      <c r="AK207">
        <f t="shared" ref="AK207:AK223" si="198">IF(T207=2,P207-U207,0)</f>
        <v>0</v>
      </c>
      <c r="AL207">
        <f t="shared" ref="AL207:AL223" si="199">IF(T207=3,P207-U207,0)</f>
        <v>0</v>
      </c>
      <c r="AM207">
        <f t="shared" ref="AM207:AM223" si="200">IF(T207=4,P207-U207,0)</f>
        <v>0</v>
      </c>
      <c r="AO207">
        <f t="shared" ref="AO207:AO223" si="201">IF(T207=1,P207-U207,0)</f>
        <v>0</v>
      </c>
      <c r="AP207">
        <f t="shared" ref="AP207:AP223" si="202">IF(T207=2,P207-U207,0)</f>
        <v>0</v>
      </c>
      <c r="AQ207">
        <f t="shared" ref="AQ207:AQ223" si="203">IF(T207=3,P207-U207,0)</f>
        <v>0</v>
      </c>
      <c r="AR207">
        <f t="shared" ref="AR207:AR223" si="204">IF(T207=4,P207-U207,0)</f>
        <v>0</v>
      </c>
    </row>
    <row r="208" spans="2:44" x14ac:dyDescent="0.25">
      <c r="B208" s="8" t="s">
        <v>603</v>
      </c>
      <c r="C208" t="s">
        <v>687</v>
      </c>
      <c r="E208" t="s">
        <v>30</v>
      </c>
      <c r="F208">
        <f>IF(E208=$B$12,I208,0)</f>
        <v>0</v>
      </c>
      <c r="G208">
        <f>IF(F208&gt;0,0,1)</f>
        <v>1</v>
      </c>
      <c r="H208" t="s">
        <v>685</v>
      </c>
      <c r="I208" s="8">
        <v>14</v>
      </c>
      <c r="K208" t="s">
        <v>604</v>
      </c>
      <c r="L208" t="s">
        <v>55</v>
      </c>
      <c r="M208" s="5">
        <v>0</v>
      </c>
      <c r="N208" s="4" t="s">
        <v>36</v>
      </c>
      <c r="P208" s="86">
        <v>2978</v>
      </c>
      <c r="Q208" s="1">
        <f>ROUND((P208*0.4),0)</f>
        <v>1191</v>
      </c>
      <c r="R208">
        <f t="shared" si="186"/>
        <v>2423</v>
      </c>
      <c r="S208" s="6" t="s">
        <v>686</v>
      </c>
      <c r="T208" s="61"/>
      <c r="U208" s="61">
        <f>IF(V208=$AE$2,47,IF(V208=$AE$1,ROUND(((P208+500)*0.039),0),IF(V208=$AE$3,0)))</f>
        <v>136</v>
      </c>
      <c r="V208" s="7" t="str">
        <f>IF(W208=1,$AE$2,IF(W208=2,$AE$1,IF(AND(W208&lt;&gt;1,W208&lt;&gt;20)=TRUE,$AE$3)))</f>
        <v>PAYPAL</v>
      </c>
      <c r="W208" s="56">
        <v>2</v>
      </c>
      <c r="X208" s="5" t="s">
        <v>834</v>
      </c>
      <c r="Y208" s="61">
        <f t="shared" si="175"/>
        <v>3614</v>
      </c>
      <c r="Z208" s="61"/>
      <c r="AA208" s="1">
        <f>IF(X208=$AA$1,R208-500,0)</f>
        <v>0</v>
      </c>
      <c r="AB208" s="1">
        <f>IF(I208&gt;0,130,0)</f>
        <v>130</v>
      </c>
      <c r="AC208" s="1"/>
      <c r="AD208" s="65">
        <f>(P208+U208)-AB208</f>
        <v>2984</v>
      </c>
      <c r="AE208" s="1"/>
      <c r="AF208" s="1">
        <f>IF(I208&gt;0,30*G208,0)</f>
        <v>30</v>
      </c>
      <c r="AG208" s="1">
        <f>IF(AH208&gt;0,AH98:AH215,0)</f>
        <v>2954</v>
      </c>
      <c r="AH208" s="1">
        <f>AD208-AF208</f>
        <v>2954</v>
      </c>
      <c r="AJ208">
        <f>IF(T208=1,P208-U208,0)</f>
        <v>0</v>
      </c>
      <c r="AK208">
        <f>IF(T208=2,P208-U208,0)</f>
        <v>0</v>
      </c>
      <c r="AL208">
        <f>IF(T208=3,P208-U208,0)</f>
        <v>0</v>
      </c>
      <c r="AM208">
        <f>IF(T208=4,P208-U208,0)</f>
        <v>0</v>
      </c>
      <c r="AO208">
        <f>IF(T208=1,P208-U208,0)</f>
        <v>0</v>
      </c>
      <c r="AP208">
        <f>IF(T208=2,P208-U208,0)</f>
        <v>0</v>
      </c>
      <c r="AQ208">
        <f>IF(T208=3,P208-U208,0)</f>
        <v>0</v>
      </c>
      <c r="AR208">
        <f>IF(T208=4,P208-U208,0)</f>
        <v>0</v>
      </c>
    </row>
    <row r="209" spans="1:45" x14ac:dyDescent="0.25">
      <c r="B209" s="8" t="s">
        <v>837</v>
      </c>
      <c r="C209" t="s">
        <v>775</v>
      </c>
      <c r="E209" t="s">
        <v>616</v>
      </c>
      <c r="F209">
        <f>IF(E209=$B$12,I209,0)</f>
        <v>0</v>
      </c>
      <c r="G209">
        <f>IF(F209&gt;0,0,1)</f>
        <v>1</v>
      </c>
      <c r="H209" t="s">
        <v>776</v>
      </c>
      <c r="I209" s="8">
        <v>6</v>
      </c>
      <c r="K209" t="s">
        <v>777</v>
      </c>
      <c r="L209" t="s">
        <v>55</v>
      </c>
      <c r="M209" s="5">
        <v>0</v>
      </c>
      <c r="N209" s="4" t="s">
        <v>36</v>
      </c>
      <c r="P209" s="86">
        <v>1455.36</v>
      </c>
      <c r="Q209" s="1">
        <v>727.68</v>
      </c>
      <c r="R209">
        <f t="shared" si="186"/>
        <v>1227.6799999999998</v>
      </c>
      <c r="S209" s="6" t="s">
        <v>778</v>
      </c>
      <c r="T209" s="61"/>
      <c r="U209" s="61">
        <v>0</v>
      </c>
      <c r="V209" s="7" t="str">
        <f>IF(W209=1,$AE$2,IF(W209=2,$AE$1,IF(AND(W209&lt;&gt;1,W209&lt;&gt;20)=TRUE,$AE$3)))</f>
        <v>PAYPAL</v>
      </c>
      <c r="W209" s="56">
        <v>2</v>
      </c>
      <c r="X209" s="174" t="s">
        <v>836</v>
      </c>
      <c r="Y209" s="61">
        <f t="shared" si="175"/>
        <v>1955.3599999999997</v>
      </c>
      <c r="Z209" s="61"/>
      <c r="AA209" s="1">
        <f>IF(X209=$AA$1,R209-500,0)</f>
        <v>0</v>
      </c>
      <c r="AB209" s="1">
        <f>IF(I209&gt;0,130,0)</f>
        <v>130</v>
      </c>
      <c r="AC209" s="1"/>
      <c r="AD209" s="65">
        <f>(P209+U209)-AB209</f>
        <v>1325.36</v>
      </c>
      <c r="AE209" s="1"/>
      <c r="AF209" s="1">
        <f>IF(I209&gt;0,30*G209,0)</f>
        <v>30</v>
      </c>
      <c r="AG209" s="1">
        <f>IF(AH209&gt;0,AH99:AH217,0)</f>
        <v>1295.3599999999999</v>
      </c>
      <c r="AH209" s="1">
        <f>AD209-AF209</f>
        <v>1295.3599999999999</v>
      </c>
      <c r="AJ209">
        <f>IF(T209=1,P209-U209,0)</f>
        <v>0</v>
      </c>
      <c r="AK209">
        <f>IF(T209=2,P209-U209,0)</f>
        <v>0</v>
      </c>
      <c r="AL209">
        <f>IF(T209=3,P209-U209,0)</f>
        <v>0</v>
      </c>
      <c r="AM209">
        <f>IF(T209=4,P209-U209,0)</f>
        <v>0</v>
      </c>
      <c r="AO209">
        <f>IF(T209=1,P209-U209,0)</f>
        <v>0</v>
      </c>
      <c r="AP209">
        <f>IF(T209=2,P209-U209,0)</f>
        <v>0</v>
      </c>
      <c r="AQ209">
        <f>IF(T209=3,P209-U209,0)</f>
        <v>0</v>
      </c>
      <c r="AR209">
        <f>IF(T209=4,P209-U209,0)</f>
        <v>0</v>
      </c>
    </row>
    <row r="210" spans="1:45" x14ac:dyDescent="0.25">
      <c r="B210" s="82" t="s">
        <v>82</v>
      </c>
      <c r="C210" s="8" t="s">
        <v>737</v>
      </c>
      <c r="D210" s="8"/>
      <c r="E210" t="s">
        <v>42</v>
      </c>
      <c r="F210">
        <f t="shared" si="188"/>
        <v>3</v>
      </c>
      <c r="G210">
        <f t="shared" si="189"/>
        <v>0</v>
      </c>
      <c r="H210" s="83" t="s">
        <v>673</v>
      </c>
      <c r="I210" s="8">
        <v>3</v>
      </c>
      <c r="K210" t="s">
        <v>639</v>
      </c>
      <c r="L210" t="s">
        <v>55</v>
      </c>
      <c r="M210" s="5">
        <v>3</v>
      </c>
      <c r="N210" s="4" t="s">
        <v>36</v>
      </c>
      <c r="P210" s="86">
        <v>0</v>
      </c>
      <c r="Q210" s="1">
        <f t="shared" si="187"/>
        <v>0</v>
      </c>
      <c r="R210">
        <f t="shared" si="186"/>
        <v>0</v>
      </c>
      <c r="S210" s="145"/>
      <c r="T210" s="61"/>
      <c r="U210" s="61">
        <f t="shared" si="190"/>
        <v>0</v>
      </c>
      <c r="V210" s="7" t="str">
        <f t="shared" si="191"/>
        <v>NONE</v>
      </c>
      <c r="W210" s="56"/>
      <c r="X210" s="5"/>
      <c r="Y210" s="61">
        <f t="shared" si="175"/>
        <v>0</v>
      </c>
      <c r="Z210" s="61"/>
      <c r="AA210" s="1">
        <f t="shared" si="192"/>
        <v>0</v>
      </c>
      <c r="AB210" s="1">
        <f t="shared" si="193"/>
        <v>130</v>
      </c>
      <c r="AC210" s="1"/>
      <c r="AD210" s="65">
        <f t="shared" si="194"/>
        <v>-130</v>
      </c>
      <c r="AE210" s="1"/>
      <c r="AF210" s="1">
        <f t="shared" si="195"/>
        <v>0</v>
      </c>
      <c r="AG210" s="1">
        <f>IF(AH210&gt;0,AH100:AH210,0)</f>
        <v>0</v>
      </c>
      <c r="AH210" s="1">
        <f t="shared" si="196"/>
        <v>-130</v>
      </c>
      <c r="AJ210">
        <f t="shared" si="197"/>
        <v>0</v>
      </c>
      <c r="AK210">
        <f t="shared" si="198"/>
        <v>0</v>
      </c>
      <c r="AL210">
        <f t="shared" si="199"/>
        <v>0</v>
      </c>
      <c r="AM210">
        <f t="shared" si="200"/>
        <v>0</v>
      </c>
      <c r="AO210">
        <f t="shared" si="201"/>
        <v>0</v>
      </c>
      <c r="AP210">
        <f t="shared" si="202"/>
        <v>0</v>
      </c>
      <c r="AQ210">
        <f t="shared" si="203"/>
        <v>0</v>
      </c>
      <c r="AR210">
        <f t="shared" si="204"/>
        <v>0</v>
      </c>
    </row>
    <row r="211" spans="1:45" ht="13.9" customHeight="1" x14ac:dyDescent="0.25">
      <c r="B211" s="179" t="s">
        <v>838</v>
      </c>
      <c r="C211" t="s">
        <v>332</v>
      </c>
      <c r="E211" t="s">
        <v>30</v>
      </c>
      <c r="F211">
        <f>IF(E211=$B$12,I211,0)</f>
        <v>0</v>
      </c>
      <c r="G211">
        <f>IF(F211&gt;0,0,1)</f>
        <v>1</v>
      </c>
      <c r="H211" s="121" t="s">
        <v>676</v>
      </c>
      <c r="I211" s="8">
        <v>18</v>
      </c>
      <c r="K211" t="s">
        <v>654</v>
      </c>
      <c r="L211" t="s">
        <v>55</v>
      </c>
      <c r="M211" s="5">
        <v>0</v>
      </c>
      <c r="N211" s="4" t="s">
        <v>36</v>
      </c>
      <c r="P211" s="86">
        <v>3309</v>
      </c>
      <c r="Q211" s="1">
        <f t="shared" si="187"/>
        <v>1324</v>
      </c>
      <c r="R211">
        <f>IF(P211&gt;0,((P211+500)-Q211)+U211,0)+300</f>
        <v>2934</v>
      </c>
      <c r="S211" s="6" t="s">
        <v>655</v>
      </c>
      <c r="T211" s="61"/>
      <c r="U211" s="61">
        <f>IF(V211=$AE$2,47,IF(V211=$AE$1,ROUND(((P211+500)*0.039),0),IF(V211=$AE$3,0)))</f>
        <v>149</v>
      </c>
      <c r="V211" s="7" t="str">
        <f>IF(W211=1,$AE$2,IF(W211=2,$AE$1,IF(AND(W211&lt;&gt;1,W211&lt;&gt;20)=TRUE,$AE$3)))</f>
        <v>PAYPAL</v>
      </c>
      <c r="W211" s="56">
        <v>2</v>
      </c>
      <c r="X211" s="87" t="s">
        <v>840</v>
      </c>
      <c r="Y211" s="61">
        <f t="shared" si="175"/>
        <v>4258</v>
      </c>
      <c r="Z211" s="61"/>
      <c r="AA211" s="1">
        <f>IF(X211=$AA$1,R211-500,0)</f>
        <v>0</v>
      </c>
      <c r="AB211" s="1">
        <f>IF(I211&gt;0,130,0)</f>
        <v>130</v>
      </c>
      <c r="AC211" s="1"/>
      <c r="AD211" s="65">
        <f>(P211+U211)-AB211</f>
        <v>3328</v>
      </c>
      <c r="AE211" s="1"/>
      <c r="AF211" s="1">
        <f>IF(I211&gt;0,30*G211,0)</f>
        <v>30</v>
      </c>
      <c r="AG211" s="1">
        <f>IF(AH211&gt;0,AH98:AH211,0)</f>
        <v>3298</v>
      </c>
      <c r="AH211" s="1">
        <f>AD211-AF211</f>
        <v>3298</v>
      </c>
      <c r="AJ211">
        <f>IF(T211=1,P211-U211,0)</f>
        <v>0</v>
      </c>
      <c r="AK211">
        <f>IF(T211=2,P211-U211,0)</f>
        <v>0</v>
      </c>
      <c r="AL211">
        <f>IF(T211=3,P211-U211,0)</f>
        <v>0</v>
      </c>
      <c r="AM211">
        <f>IF(T211=4,P211-U211,0)</f>
        <v>0</v>
      </c>
      <c r="AO211">
        <f>IF(T211=1,P211-U211,0)</f>
        <v>0</v>
      </c>
      <c r="AP211">
        <f>IF(T211=2,P211-U211,0)</f>
        <v>0</v>
      </c>
      <c r="AQ211">
        <f>IF(T211=3,P211-U211,0)</f>
        <v>0</v>
      </c>
      <c r="AR211">
        <f>IF(T211=4,P211-U211,0)</f>
        <v>0</v>
      </c>
    </row>
    <row r="212" spans="1:45" x14ac:dyDescent="0.25">
      <c r="B212" s="8" t="s">
        <v>742</v>
      </c>
      <c r="C212" t="s">
        <v>743</v>
      </c>
      <c r="F212">
        <f>IF(E212=$B$12,I212,0)</f>
        <v>0</v>
      </c>
      <c r="G212">
        <f>IF(F212&gt;0,0,1)</f>
        <v>1</v>
      </c>
      <c r="H212" s="121" t="s">
        <v>741</v>
      </c>
      <c r="I212" s="8">
        <v>8</v>
      </c>
      <c r="K212" t="s">
        <v>108</v>
      </c>
      <c r="L212" t="s">
        <v>55</v>
      </c>
      <c r="M212" s="5">
        <v>0</v>
      </c>
      <c r="N212" s="4" t="s">
        <v>36</v>
      </c>
      <c r="P212" s="86">
        <v>1920</v>
      </c>
      <c r="Q212" s="1">
        <f t="shared" si="187"/>
        <v>768</v>
      </c>
      <c r="R212">
        <f t="shared" ref="R212:R223" si="205">IF(P212&gt;0,((P212+500)-Q212)+U212,0)</f>
        <v>1652</v>
      </c>
      <c r="S212" s="6" t="s">
        <v>744</v>
      </c>
      <c r="T212" s="61"/>
      <c r="U212" s="61">
        <f>IF(V212=$AE$2,47,IF(V212=$AE$1,ROUND(((P212+500)*0.039),0),IF(V212=$AE$3,0)))</f>
        <v>0</v>
      </c>
      <c r="V212" s="7" t="str">
        <f>IF(W212=1,$AE$2,IF(W212=2,$AE$1,IF(AND(W212&lt;&gt;1,W212&lt;&gt;20)=TRUE,$AE$3)))</f>
        <v>NONE</v>
      </c>
      <c r="W212" s="56"/>
      <c r="X212" s="5" t="s">
        <v>842</v>
      </c>
      <c r="Y212" s="61">
        <f t="shared" si="175"/>
        <v>2420</v>
      </c>
      <c r="Z212" s="61"/>
      <c r="AA212" s="1">
        <f>IF(X212=$AA$1,R212-500,0)</f>
        <v>0</v>
      </c>
      <c r="AB212" s="1">
        <f>IF(I212&gt;0,130,0)</f>
        <v>130</v>
      </c>
      <c r="AC212" s="1"/>
      <c r="AD212" s="65">
        <f>(P212+U212)-AB212</f>
        <v>1790</v>
      </c>
      <c r="AE212" s="1"/>
      <c r="AF212" s="1">
        <f>IF(I212&gt;0,30*G212,0)</f>
        <v>30</v>
      </c>
      <c r="AG212" s="1">
        <f>IF(AH212&gt;0,AH100:AH218,0)</f>
        <v>1760</v>
      </c>
      <c r="AH212" s="1">
        <f>AD212-AF212</f>
        <v>1760</v>
      </c>
      <c r="AJ212">
        <f>IF(T212=1,P212-U212,0)</f>
        <v>0</v>
      </c>
      <c r="AK212">
        <f>IF(T212=2,P212-U212,0)</f>
        <v>0</v>
      </c>
      <c r="AL212">
        <f>IF(T212=3,P212-U212,0)</f>
        <v>0</v>
      </c>
      <c r="AM212">
        <f>IF(T212=4,P212-U212,0)</f>
        <v>0</v>
      </c>
      <c r="AO212">
        <f>IF(T212=1,P212-U212,0)</f>
        <v>0</v>
      </c>
      <c r="AP212">
        <f>IF(T212=2,P212-U212,0)</f>
        <v>0</v>
      </c>
      <c r="AQ212">
        <f>IF(T212=3,P212-U212,0)</f>
        <v>0</v>
      </c>
      <c r="AR212">
        <f>IF(T212=4,P212-U212,0)</f>
        <v>0</v>
      </c>
    </row>
    <row r="213" spans="1:45" x14ac:dyDescent="0.25">
      <c r="B213" s="82" t="s">
        <v>810</v>
      </c>
      <c r="C213" s="8" t="s">
        <v>42</v>
      </c>
      <c r="D213" s="8"/>
      <c r="E213" t="s">
        <v>42</v>
      </c>
      <c r="F213">
        <f t="shared" si="188"/>
        <v>3</v>
      </c>
      <c r="G213">
        <f t="shared" si="189"/>
        <v>0</v>
      </c>
      <c r="H213" s="83" t="s">
        <v>806</v>
      </c>
      <c r="I213" s="8">
        <v>3</v>
      </c>
      <c r="K213" t="s">
        <v>639</v>
      </c>
      <c r="L213" t="s">
        <v>55</v>
      </c>
      <c r="M213" s="5">
        <v>3</v>
      </c>
      <c r="N213" s="4" t="s">
        <v>36</v>
      </c>
      <c r="P213" s="86">
        <v>0</v>
      </c>
      <c r="Q213" s="1">
        <f t="shared" si="187"/>
        <v>0</v>
      </c>
      <c r="R213">
        <f t="shared" si="205"/>
        <v>0</v>
      </c>
      <c r="S213" s="6"/>
      <c r="T213" s="61"/>
      <c r="U213" s="61">
        <f t="shared" si="190"/>
        <v>0</v>
      </c>
      <c r="V213" s="7" t="str">
        <f t="shared" si="191"/>
        <v>NONE</v>
      </c>
      <c r="W213" s="56"/>
      <c r="X213" s="5"/>
      <c r="Y213" s="61">
        <f t="shared" si="175"/>
        <v>0</v>
      </c>
      <c r="Z213" s="61"/>
      <c r="AA213" s="1">
        <f t="shared" si="192"/>
        <v>0</v>
      </c>
      <c r="AB213" s="1">
        <f t="shared" si="193"/>
        <v>130</v>
      </c>
      <c r="AC213" s="1"/>
      <c r="AD213" s="65">
        <f t="shared" si="194"/>
        <v>-130</v>
      </c>
      <c r="AE213" s="1"/>
      <c r="AF213" s="1">
        <f t="shared" si="195"/>
        <v>0</v>
      </c>
      <c r="AG213" s="1">
        <f>IF(AH213&gt;0,AH101:AH213,0)</f>
        <v>0</v>
      </c>
      <c r="AH213" s="1">
        <f t="shared" si="196"/>
        <v>-130</v>
      </c>
      <c r="AJ213">
        <f t="shared" si="197"/>
        <v>0</v>
      </c>
      <c r="AK213">
        <f t="shared" si="198"/>
        <v>0</v>
      </c>
      <c r="AL213">
        <f t="shared" si="199"/>
        <v>0</v>
      </c>
      <c r="AM213">
        <f t="shared" si="200"/>
        <v>0</v>
      </c>
      <c r="AO213">
        <f t="shared" si="201"/>
        <v>0</v>
      </c>
      <c r="AP213">
        <f t="shared" si="202"/>
        <v>0</v>
      </c>
      <c r="AQ213">
        <f t="shared" si="203"/>
        <v>0</v>
      </c>
      <c r="AR213">
        <f t="shared" si="204"/>
        <v>0</v>
      </c>
    </row>
    <row r="214" spans="1:45" x14ac:dyDescent="0.25">
      <c r="B214" s="8" t="s">
        <v>818</v>
      </c>
      <c r="C214" t="s">
        <v>807</v>
      </c>
      <c r="E214" t="s">
        <v>370</v>
      </c>
      <c r="F214">
        <f t="shared" si="188"/>
        <v>0</v>
      </c>
      <c r="G214">
        <f t="shared" si="189"/>
        <v>1</v>
      </c>
      <c r="H214" t="s">
        <v>808</v>
      </c>
      <c r="I214" s="8">
        <v>7</v>
      </c>
      <c r="K214" t="s">
        <v>103</v>
      </c>
      <c r="L214" t="s">
        <v>55</v>
      </c>
      <c r="M214" s="5">
        <v>0</v>
      </c>
      <c r="N214" s="4" t="s">
        <v>36</v>
      </c>
      <c r="P214" s="86">
        <v>1683.16</v>
      </c>
      <c r="Q214" s="1">
        <v>841.58</v>
      </c>
      <c r="R214">
        <f t="shared" si="205"/>
        <v>1341.58</v>
      </c>
      <c r="S214" s="6" t="s">
        <v>809</v>
      </c>
      <c r="T214" s="61"/>
      <c r="U214" s="61">
        <f t="shared" si="190"/>
        <v>0</v>
      </c>
      <c r="V214" s="7" t="str">
        <f t="shared" si="191"/>
        <v>NONE</v>
      </c>
      <c r="W214" s="56"/>
      <c r="X214" s="174" t="s">
        <v>832</v>
      </c>
      <c r="Y214" s="61">
        <f t="shared" si="175"/>
        <v>2183.16</v>
      </c>
      <c r="Z214" s="61"/>
      <c r="AA214" s="1">
        <f t="shared" si="192"/>
        <v>0</v>
      </c>
      <c r="AB214" s="1">
        <f t="shared" si="193"/>
        <v>130</v>
      </c>
      <c r="AC214" s="1"/>
      <c r="AD214" s="65">
        <f t="shared" si="194"/>
        <v>1553.16</v>
      </c>
      <c r="AE214" s="1"/>
      <c r="AF214" s="1">
        <f t="shared" si="195"/>
        <v>30</v>
      </c>
      <c r="AG214" s="1">
        <f>IF(AH214&gt;0,AH107:AH214,0)</f>
        <v>1523.16</v>
      </c>
      <c r="AH214" s="1">
        <f t="shared" si="196"/>
        <v>1523.16</v>
      </c>
      <c r="AJ214">
        <f t="shared" si="197"/>
        <v>0</v>
      </c>
      <c r="AK214">
        <f t="shared" si="198"/>
        <v>0</v>
      </c>
      <c r="AL214">
        <f t="shared" si="199"/>
        <v>0</v>
      </c>
      <c r="AM214">
        <f t="shared" si="200"/>
        <v>0</v>
      </c>
      <c r="AO214">
        <f t="shared" si="201"/>
        <v>0</v>
      </c>
      <c r="AP214">
        <f t="shared" si="202"/>
        <v>0</v>
      </c>
      <c r="AQ214">
        <f t="shared" si="203"/>
        <v>0</v>
      </c>
      <c r="AR214">
        <f t="shared" si="204"/>
        <v>0</v>
      </c>
    </row>
    <row r="215" spans="1:45" x14ac:dyDescent="0.25">
      <c r="B215" t="s">
        <v>730</v>
      </c>
      <c r="C215" t="s">
        <v>731</v>
      </c>
      <c r="E215" t="s">
        <v>30</v>
      </c>
      <c r="F215">
        <f t="shared" si="188"/>
        <v>0</v>
      </c>
      <c r="G215">
        <f t="shared" si="189"/>
        <v>1</v>
      </c>
      <c r="H215" t="s">
        <v>732</v>
      </c>
      <c r="I215" s="8">
        <v>8</v>
      </c>
      <c r="K215" t="s">
        <v>103</v>
      </c>
      <c r="L215" t="s">
        <v>55</v>
      </c>
      <c r="M215" s="5">
        <v>0</v>
      </c>
      <c r="N215" s="4" t="s">
        <v>36</v>
      </c>
      <c r="P215" s="86">
        <v>1786</v>
      </c>
      <c r="Q215" s="1">
        <f t="shared" si="187"/>
        <v>714</v>
      </c>
      <c r="R215">
        <f t="shared" si="205"/>
        <v>1572</v>
      </c>
      <c r="S215" s="6" t="s">
        <v>733</v>
      </c>
      <c r="T215" s="61"/>
      <c r="U215" s="61">
        <f t="shared" si="190"/>
        <v>0</v>
      </c>
      <c r="V215" s="7" t="str">
        <f t="shared" si="191"/>
        <v>NONE</v>
      </c>
      <c r="W215" s="56"/>
      <c r="X215" s="5" t="s">
        <v>851</v>
      </c>
      <c r="Y215" s="61">
        <f t="shared" si="175"/>
        <v>2286</v>
      </c>
      <c r="Z215" s="61"/>
      <c r="AA215" s="1">
        <f t="shared" si="192"/>
        <v>0</v>
      </c>
      <c r="AB215" s="1">
        <f t="shared" si="193"/>
        <v>130</v>
      </c>
      <c r="AC215" s="1"/>
      <c r="AD215" s="65">
        <f t="shared" si="194"/>
        <v>1656</v>
      </c>
      <c r="AE215" s="1"/>
      <c r="AF215" s="1">
        <f t="shared" si="195"/>
        <v>30</v>
      </c>
      <c r="AG215" s="1">
        <f>IF(AH215&gt;0,AH102:AH215,0)</f>
        <v>1626</v>
      </c>
      <c r="AH215" s="1">
        <f t="shared" si="196"/>
        <v>1626</v>
      </c>
      <c r="AJ215">
        <f t="shared" si="197"/>
        <v>0</v>
      </c>
      <c r="AK215">
        <f t="shared" si="198"/>
        <v>0</v>
      </c>
      <c r="AL215">
        <f t="shared" si="199"/>
        <v>0</v>
      </c>
      <c r="AM215">
        <f t="shared" si="200"/>
        <v>0</v>
      </c>
      <c r="AO215">
        <f t="shared" si="201"/>
        <v>0</v>
      </c>
      <c r="AP215">
        <f t="shared" si="202"/>
        <v>0</v>
      </c>
      <c r="AQ215">
        <f t="shared" si="203"/>
        <v>0</v>
      </c>
      <c r="AR215">
        <f t="shared" si="204"/>
        <v>0</v>
      </c>
    </row>
    <row r="216" spans="1:45" x14ac:dyDescent="0.25">
      <c r="B216" s="8" t="s">
        <v>853</v>
      </c>
      <c r="C216" t="s">
        <v>844</v>
      </c>
      <c r="E216" t="s">
        <v>616</v>
      </c>
      <c r="F216">
        <f>IF(E216=$B$12,I216,0)</f>
        <v>0</v>
      </c>
      <c r="G216">
        <f>IF(F216&gt;0,0,1)</f>
        <v>1</v>
      </c>
      <c r="H216" s="121" t="s">
        <v>843</v>
      </c>
      <c r="I216" s="8">
        <v>7</v>
      </c>
      <c r="K216" t="s">
        <v>777</v>
      </c>
      <c r="L216" t="s">
        <v>55</v>
      </c>
      <c r="M216" s="5">
        <v>0</v>
      </c>
      <c r="N216" s="4" t="s">
        <v>36</v>
      </c>
      <c r="P216" s="86">
        <v>1567.26</v>
      </c>
      <c r="Q216" s="1">
        <v>2067.2600000000002</v>
      </c>
      <c r="R216">
        <f t="shared" si="205"/>
        <v>0</v>
      </c>
      <c r="S216" s="6" t="s">
        <v>156</v>
      </c>
      <c r="T216" s="61">
        <v>0</v>
      </c>
      <c r="U216" s="61">
        <f>IF(V216=$AE$2,47,IF(V216=$AE$1,ROUND(((P216+500)*0.039),0),IF(V216=$AE$3,0)))</f>
        <v>0</v>
      </c>
      <c r="V216" s="7" t="str">
        <f>IF(W216=1,$AE$2,IF(W216=2,$AE$1,IF(AND(W216&lt;&gt;1,W216&lt;&gt;20)=TRUE,$AE$3)))</f>
        <v>NONE</v>
      </c>
      <c r="W216" s="56"/>
      <c r="X216" s="87" t="s">
        <v>852</v>
      </c>
      <c r="Y216" s="61">
        <f t="shared" si="175"/>
        <v>2067.2600000000002</v>
      </c>
      <c r="Z216" s="61"/>
      <c r="AA216" s="1">
        <f>IF(X216=$AA$1,R216-500,0)</f>
        <v>0</v>
      </c>
      <c r="AB216" s="1">
        <f>IF(I216&gt;0,130,0)</f>
        <v>130</v>
      </c>
      <c r="AC216" s="1"/>
      <c r="AD216" s="65">
        <f>(P216+U216)-AB216</f>
        <v>1437.26</v>
      </c>
      <c r="AE216" s="1"/>
      <c r="AF216" s="1">
        <f>IF(I216&gt;0,30*G216,0)</f>
        <v>30</v>
      </c>
      <c r="AG216" s="1">
        <f>IF(AH216&gt;0,AH107:AH216,0)</f>
        <v>1407.26</v>
      </c>
      <c r="AH216" s="1">
        <f>AD216-AF216</f>
        <v>1407.26</v>
      </c>
      <c r="AJ216">
        <f>IF(T216=1,P216-U216,0)</f>
        <v>0</v>
      </c>
      <c r="AK216">
        <f>IF(T216=2,P216-U216,0)</f>
        <v>0</v>
      </c>
      <c r="AL216">
        <f>IF(T216=3,P216-U216,0)</f>
        <v>0</v>
      </c>
      <c r="AM216">
        <f>IF(T216=4,P216-U216,0)</f>
        <v>0</v>
      </c>
      <c r="AO216">
        <f>IF(T216=1,P216-U216,0)</f>
        <v>0</v>
      </c>
      <c r="AP216">
        <f>IF(T216=2,P216-U216,0)</f>
        <v>0</v>
      </c>
      <c r="AQ216">
        <f>IF(T216=3,P216-U216,0)</f>
        <v>0</v>
      </c>
      <c r="AR216">
        <f>IF(T216=4,P216-U216,0)</f>
        <v>0</v>
      </c>
    </row>
    <row r="217" spans="1:45" x14ac:dyDescent="0.25">
      <c r="B217" s="8" t="s">
        <v>620</v>
      </c>
      <c r="C217" t="s">
        <v>619</v>
      </c>
      <c r="E217" t="s">
        <v>61</v>
      </c>
      <c r="F217">
        <f t="shared" si="188"/>
        <v>0</v>
      </c>
      <c r="G217">
        <f t="shared" si="189"/>
        <v>1</v>
      </c>
      <c r="H217" s="121" t="s">
        <v>726</v>
      </c>
      <c r="I217" s="8">
        <v>21</v>
      </c>
      <c r="K217" t="s">
        <v>615</v>
      </c>
      <c r="L217" t="s">
        <v>55</v>
      </c>
      <c r="M217" s="5">
        <v>0</v>
      </c>
      <c r="N217" s="4" t="s">
        <v>36</v>
      </c>
      <c r="P217" s="86">
        <v>4112</v>
      </c>
      <c r="Q217" s="1">
        <f t="shared" si="187"/>
        <v>1645</v>
      </c>
      <c r="R217">
        <f t="shared" si="205"/>
        <v>3147</v>
      </c>
      <c r="S217" s="6" t="s">
        <v>621</v>
      </c>
      <c r="T217" s="61">
        <v>4</v>
      </c>
      <c r="U217" s="61">
        <f t="shared" si="190"/>
        <v>180</v>
      </c>
      <c r="V217" s="7" t="str">
        <f t="shared" si="191"/>
        <v>PAYPAL</v>
      </c>
      <c r="W217" s="56">
        <v>2</v>
      </c>
      <c r="X217" s="5" t="s">
        <v>162</v>
      </c>
      <c r="Y217" s="61">
        <f t="shared" si="175"/>
        <v>4792</v>
      </c>
      <c r="Z217" s="61"/>
      <c r="AA217" s="1">
        <f t="shared" si="192"/>
        <v>0</v>
      </c>
      <c r="AB217" s="1">
        <f t="shared" si="193"/>
        <v>130</v>
      </c>
      <c r="AC217" s="1"/>
      <c r="AD217" s="65">
        <f t="shared" si="194"/>
        <v>4162</v>
      </c>
      <c r="AE217" s="1"/>
      <c r="AF217" s="1">
        <f t="shared" si="195"/>
        <v>30</v>
      </c>
      <c r="AG217" s="1">
        <f>IF(AH217&gt;0,AH108:AH217,0)</f>
        <v>4132</v>
      </c>
      <c r="AH217" s="1">
        <f t="shared" si="196"/>
        <v>4132</v>
      </c>
      <c r="AJ217">
        <f t="shared" si="197"/>
        <v>0</v>
      </c>
      <c r="AK217">
        <f t="shared" si="198"/>
        <v>0</v>
      </c>
      <c r="AL217">
        <f t="shared" si="199"/>
        <v>0</v>
      </c>
      <c r="AM217">
        <f t="shared" si="200"/>
        <v>3932</v>
      </c>
      <c r="AO217">
        <f t="shared" si="201"/>
        <v>0</v>
      </c>
      <c r="AP217">
        <f t="shared" si="202"/>
        <v>0</v>
      </c>
      <c r="AQ217">
        <f t="shared" si="203"/>
        <v>0</v>
      </c>
      <c r="AR217">
        <f t="shared" si="204"/>
        <v>3932</v>
      </c>
    </row>
    <row r="218" spans="1:45" x14ac:dyDescent="0.25">
      <c r="B218" s="82" t="s">
        <v>82</v>
      </c>
      <c r="C218" s="8" t="s">
        <v>42</v>
      </c>
      <c r="D218" s="8"/>
      <c r="E218" t="s">
        <v>42</v>
      </c>
      <c r="F218">
        <f t="shared" si="188"/>
        <v>5</v>
      </c>
      <c r="G218">
        <f t="shared" si="189"/>
        <v>0</v>
      </c>
      <c r="H218" s="83" t="s">
        <v>618</v>
      </c>
      <c r="I218" s="8">
        <v>5</v>
      </c>
      <c r="K218" t="s">
        <v>63</v>
      </c>
      <c r="L218" t="s">
        <v>55</v>
      </c>
      <c r="M218" s="5">
        <v>3</v>
      </c>
      <c r="N218" s="4" t="s">
        <v>36</v>
      </c>
      <c r="P218" s="86">
        <v>0</v>
      </c>
      <c r="Q218" s="1">
        <f t="shared" si="187"/>
        <v>0</v>
      </c>
      <c r="R218">
        <f t="shared" si="205"/>
        <v>0</v>
      </c>
      <c r="S218" s="6"/>
      <c r="T218" s="61"/>
      <c r="U218" s="61">
        <f t="shared" si="190"/>
        <v>0</v>
      </c>
      <c r="V218" s="7" t="str">
        <f t="shared" si="191"/>
        <v>NONE</v>
      </c>
      <c r="W218" s="56"/>
      <c r="X218" s="5"/>
      <c r="Y218" s="61">
        <f t="shared" si="175"/>
        <v>0</v>
      </c>
      <c r="Z218" s="61"/>
      <c r="AA218" s="1">
        <f t="shared" si="192"/>
        <v>0</v>
      </c>
      <c r="AB218" s="1">
        <f t="shared" si="193"/>
        <v>130</v>
      </c>
      <c r="AC218" s="1"/>
      <c r="AD218" s="65">
        <f t="shared" si="194"/>
        <v>-130</v>
      </c>
      <c r="AE218" s="1"/>
      <c r="AF218" s="1">
        <f t="shared" si="195"/>
        <v>0</v>
      </c>
      <c r="AG218" s="1">
        <f>IF(AH218&gt;0,AH109:AH218,0)</f>
        <v>0</v>
      </c>
      <c r="AH218" s="1">
        <f t="shared" si="196"/>
        <v>-130</v>
      </c>
      <c r="AJ218">
        <f t="shared" si="197"/>
        <v>0</v>
      </c>
      <c r="AK218">
        <f t="shared" si="198"/>
        <v>0</v>
      </c>
      <c r="AL218">
        <f t="shared" si="199"/>
        <v>0</v>
      </c>
      <c r="AM218">
        <f t="shared" si="200"/>
        <v>0</v>
      </c>
      <c r="AO218">
        <f t="shared" si="201"/>
        <v>0</v>
      </c>
      <c r="AP218">
        <f t="shared" si="202"/>
        <v>0</v>
      </c>
      <c r="AQ218">
        <f t="shared" si="203"/>
        <v>0</v>
      </c>
      <c r="AR218">
        <f t="shared" si="204"/>
        <v>0</v>
      </c>
    </row>
    <row r="219" spans="1:45" x14ac:dyDescent="0.25">
      <c r="B219" s="8" t="s">
        <v>629</v>
      </c>
      <c r="C219" t="s">
        <v>839</v>
      </c>
      <c r="E219" t="s">
        <v>370</v>
      </c>
      <c r="F219">
        <f>IF(E219=$B$12,I219,0)</f>
        <v>0</v>
      </c>
      <c r="G219">
        <f>IF(F219&gt;0,0,1)</f>
        <v>1</v>
      </c>
      <c r="H219" t="s">
        <v>723</v>
      </c>
      <c r="I219" s="8">
        <v>15</v>
      </c>
      <c r="K219" t="s">
        <v>724</v>
      </c>
      <c r="L219" t="s">
        <v>55</v>
      </c>
      <c r="M219" s="5">
        <v>0</v>
      </c>
      <c r="N219" s="4" t="s">
        <v>36</v>
      </c>
      <c r="P219" s="86">
        <v>2996</v>
      </c>
      <c r="Q219" s="1">
        <f t="shared" si="187"/>
        <v>1198</v>
      </c>
      <c r="R219">
        <f t="shared" si="205"/>
        <v>2434</v>
      </c>
      <c r="S219" s="6" t="s">
        <v>725</v>
      </c>
      <c r="T219" s="61">
        <v>0</v>
      </c>
      <c r="U219" s="61">
        <f>IF(V219=$AE$2,47,IF(V219=$AE$1,ROUND(((P219+500)*0.039),0),IF(V219=$AE$3,0)))</f>
        <v>136</v>
      </c>
      <c r="V219" s="7" t="str">
        <f>IF(W219=1,$AE$2,IF(W219=2,$AE$1,IF(AND(W219&lt;&gt;1,W219&lt;&gt;20)=TRUE,$AE$3)))</f>
        <v>PAYPAL</v>
      </c>
      <c r="W219" s="56">
        <v>2</v>
      </c>
      <c r="X219" s="5" t="s">
        <v>162</v>
      </c>
      <c r="Y219" s="61">
        <f t="shared" si="175"/>
        <v>3632</v>
      </c>
      <c r="Z219" s="61"/>
      <c r="AA219" s="1">
        <f>IF(X219=$AA$1,R219-500,0)</f>
        <v>0</v>
      </c>
      <c r="AB219" s="1">
        <f>IF(I219&gt;0,130,0)</f>
        <v>130</v>
      </c>
      <c r="AC219" s="1"/>
      <c r="AD219" s="65">
        <f>(P219+U219)-AB219</f>
        <v>3002</v>
      </c>
      <c r="AE219" s="1"/>
      <c r="AF219" s="1">
        <f>IF(I219&gt;0,30*G219,0)</f>
        <v>30</v>
      </c>
      <c r="AG219" s="1">
        <f>IF(AH219&gt;0,AH108:AH219,0)</f>
        <v>2972</v>
      </c>
      <c r="AH219" s="1">
        <f>AD219-AF219</f>
        <v>2972</v>
      </c>
      <c r="AJ219">
        <f>IF(T219=1,P219-U219,0)</f>
        <v>0</v>
      </c>
      <c r="AK219">
        <f>IF(T219=2,P219-U219,0)</f>
        <v>0</v>
      </c>
      <c r="AL219">
        <f>IF(T219=3,P219-U219,0)</f>
        <v>0</v>
      </c>
      <c r="AM219">
        <f>IF(T219=4,P219-U219,0)</f>
        <v>0</v>
      </c>
      <c r="AO219">
        <f>IF(T219=1,P219-U219,0)</f>
        <v>0</v>
      </c>
      <c r="AP219">
        <f>IF(T219=2,P219-U219,0)</f>
        <v>0</v>
      </c>
      <c r="AQ219">
        <f>IF(T219=3,P219-U219,0)</f>
        <v>0</v>
      </c>
      <c r="AR219">
        <f>IF(T219=4,P219-U219,0)</f>
        <v>0</v>
      </c>
    </row>
    <row r="220" spans="1:45" x14ac:dyDescent="0.25">
      <c r="B220" s="8" t="s">
        <v>803</v>
      </c>
      <c r="C220" t="s">
        <v>802</v>
      </c>
      <c r="F220">
        <f>IF(E220=$B$12,I220,0)</f>
        <v>0</v>
      </c>
      <c r="G220">
        <f>IF(F220&gt;0,0,1)</f>
        <v>1</v>
      </c>
      <c r="H220" t="s">
        <v>800</v>
      </c>
      <c r="I220" s="8">
        <v>5</v>
      </c>
      <c r="K220" t="s">
        <v>801</v>
      </c>
      <c r="L220" t="s">
        <v>55</v>
      </c>
      <c r="M220" s="5">
        <v>0</v>
      </c>
      <c r="N220" s="4" t="s">
        <v>36</v>
      </c>
      <c r="P220" s="86">
        <v>1637</v>
      </c>
      <c r="Q220" s="1">
        <f t="shared" si="187"/>
        <v>655</v>
      </c>
      <c r="R220">
        <f t="shared" si="205"/>
        <v>1482</v>
      </c>
      <c r="S220" s="6" t="s">
        <v>804</v>
      </c>
      <c r="T220" s="61"/>
      <c r="U220" s="61">
        <f>IF(V220=$AE$2,47,IF(V220=$AE$1,ROUND(((P220+500)*0.039),0),IF(V220=$AE$3,0)))</f>
        <v>0</v>
      </c>
      <c r="V220" s="7" t="str">
        <f>IF(W220=1,$AE$2,IF(W220=2,$AE$1,IF(AND(W220&lt;&gt;1,W220&lt;&gt;20)=TRUE,$AE$3)))</f>
        <v>NONE</v>
      </c>
      <c r="W220" s="56"/>
      <c r="X220" s="5" t="s">
        <v>850</v>
      </c>
      <c r="Y220" s="61">
        <f t="shared" si="175"/>
        <v>2137</v>
      </c>
      <c r="Z220" s="61"/>
      <c r="AA220" s="1">
        <f>IF(X220=$AA$1,R220-500,0)</f>
        <v>0</v>
      </c>
      <c r="AB220" s="1">
        <f>IF(I220&gt;0,130,0)</f>
        <v>130</v>
      </c>
      <c r="AC220" s="1"/>
      <c r="AD220" s="65">
        <f>(P220+U220)-AB220</f>
        <v>1507</v>
      </c>
      <c r="AE220" s="1"/>
      <c r="AF220" s="1">
        <f>IF(I220&gt;0,30*G220,0)</f>
        <v>30</v>
      </c>
      <c r="AG220" s="1">
        <f>IF(AH220&gt;0,AH111:AH220,0)</f>
        <v>1477</v>
      </c>
      <c r="AH220" s="1">
        <f>AD220-AF220</f>
        <v>1477</v>
      </c>
      <c r="AJ220">
        <f>IF(T220=1,P220-U220,0)</f>
        <v>0</v>
      </c>
      <c r="AK220">
        <f>IF(T220=2,P220-U220,0)</f>
        <v>0</v>
      </c>
      <c r="AL220">
        <f>IF(T220=3,P220-U220,0)</f>
        <v>0</v>
      </c>
      <c r="AM220">
        <f>IF(T220=4,P220-U220,0)</f>
        <v>0</v>
      </c>
      <c r="AO220">
        <f>IF(T220=1,P220-U220,0)</f>
        <v>0</v>
      </c>
      <c r="AP220">
        <f>IF(T220=2,P220-U220,0)</f>
        <v>0</v>
      </c>
      <c r="AQ220">
        <f>IF(T220=3,P220-U220,0)</f>
        <v>0</v>
      </c>
      <c r="AR220">
        <f>IF(T220=4,P220-U220,0)</f>
        <v>0</v>
      </c>
    </row>
    <row r="221" spans="1:45" x14ac:dyDescent="0.25">
      <c r="B221" s="82" t="s">
        <v>82</v>
      </c>
      <c r="C221" s="8" t="s">
        <v>42</v>
      </c>
      <c r="D221" s="8"/>
      <c r="E221" t="s">
        <v>42</v>
      </c>
      <c r="F221">
        <f t="shared" si="188"/>
        <v>7</v>
      </c>
      <c r="G221">
        <f t="shared" si="189"/>
        <v>0</v>
      </c>
      <c r="H221" s="84" t="s">
        <v>645</v>
      </c>
      <c r="I221" s="8">
        <v>7</v>
      </c>
      <c r="K221" t="s">
        <v>63</v>
      </c>
      <c r="L221" t="s">
        <v>55</v>
      </c>
      <c r="M221" s="5">
        <v>3</v>
      </c>
      <c r="N221" s="4" t="s">
        <v>36</v>
      </c>
      <c r="P221" s="86">
        <v>0</v>
      </c>
      <c r="Q221" s="1">
        <f t="shared" si="187"/>
        <v>0</v>
      </c>
      <c r="R221">
        <f t="shared" si="205"/>
        <v>0</v>
      </c>
      <c r="S221" s="6"/>
      <c r="T221" s="61"/>
      <c r="U221" s="61">
        <f t="shared" si="190"/>
        <v>0</v>
      </c>
      <c r="V221" s="7" t="str">
        <f t="shared" si="191"/>
        <v>NONE</v>
      </c>
      <c r="W221" s="56"/>
      <c r="X221" s="5"/>
      <c r="Y221" s="61">
        <f t="shared" si="175"/>
        <v>0</v>
      </c>
      <c r="Z221" s="61"/>
      <c r="AA221" s="1">
        <f t="shared" si="192"/>
        <v>0</v>
      </c>
      <c r="AB221" s="1">
        <f t="shared" si="193"/>
        <v>130</v>
      </c>
      <c r="AC221" s="1"/>
      <c r="AD221" s="65">
        <f t="shared" si="194"/>
        <v>-130</v>
      </c>
      <c r="AE221" s="1"/>
      <c r="AF221" s="1">
        <f t="shared" si="195"/>
        <v>0</v>
      </c>
      <c r="AG221" s="1">
        <f>IF(AH221&gt;0,AH110:AH221,0)</f>
        <v>0</v>
      </c>
      <c r="AH221" s="1">
        <f t="shared" si="196"/>
        <v>-130</v>
      </c>
      <c r="AJ221">
        <f t="shared" si="197"/>
        <v>0</v>
      </c>
      <c r="AK221">
        <f t="shared" si="198"/>
        <v>0</v>
      </c>
      <c r="AL221">
        <f t="shared" si="199"/>
        <v>0</v>
      </c>
      <c r="AM221">
        <f t="shared" si="200"/>
        <v>0</v>
      </c>
      <c r="AO221">
        <f t="shared" si="201"/>
        <v>0</v>
      </c>
      <c r="AP221">
        <f t="shared" si="202"/>
        <v>0</v>
      </c>
      <c r="AQ221">
        <f t="shared" si="203"/>
        <v>0</v>
      </c>
      <c r="AR221">
        <f t="shared" si="204"/>
        <v>0</v>
      </c>
    </row>
    <row r="222" spans="1:45" x14ac:dyDescent="0.25">
      <c r="B222" s="8"/>
      <c r="C222" s="8"/>
      <c r="D222" s="8"/>
      <c r="F222">
        <f t="shared" si="188"/>
        <v>0</v>
      </c>
      <c r="G222">
        <f t="shared" si="189"/>
        <v>1</v>
      </c>
      <c r="I222" s="8">
        <v>0</v>
      </c>
      <c r="N222" s="4"/>
      <c r="P222" s="86">
        <v>0</v>
      </c>
      <c r="Q222" s="1">
        <f t="shared" si="187"/>
        <v>0</v>
      </c>
      <c r="R222">
        <f t="shared" si="205"/>
        <v>0</v>
      </c>
      <c r="S222" s="6"/>
      <c r="T222" s="61"/>
      <c r="U222" s="61">
        <f t="shared" si="190"/>
        <v>0</v>
      </c>
      <c r="V222" s="7" t="str">
        <f t="shared" si="191"/>
        <v>NONE</v>
      </c>
      <c r="W222" s="56"/>
      <c r="X222" s="5"/>
      <c r="Y222" s="61">
        <f t="shared" si="175"/>
        <v>0</v>
      </c>
      <c r="Z222" s="61"/>
      <c r="AA222" s="1">
        <f t="shared" si="192"/>
        <v>0</v>
      </c>
      <c r="AB222" s="1">
        <f t="shared" si="193"/>
        <v>0</v>
      </c>
      <c r="AC222" s="1"/>
      <c r="AD222" s="65">
        <f t="shared" si="194"/>
        <v>0</v>
      </c>
      <c r="AE222" s="1"/>
      <c r="AF222" s="1">
        <f t="shared" si="195"/>
        <v>0</v>
      </c>
      <c r="AG222" s="1">
        <f>IF(AH222&gt;0,AH110:AH222,0)</f>
        <v>0</v>
      </c>
      <c r="AH222" s="1">
        <f t="shared" si="196"/>
        <v>0</v>
      </c>
      <c r="AJ222">
        <f t="shared" si="197"/>
        <v>0</v>
      </c>
      <c r="AK222">
        <f t="shared" si="198"/>
        <v>0</v>
      </c>
      <c r="AL222">
        <f t="shared" si="199"/>
        <v>0</v>
      </c>
      <c r="AM222">
        <f t="shared" si="200"/>
        <v>0</v>
      </c>
      <c r="AO222">
        <f t="shared" si="201"/>
        <v>0</v>
      </c>
      <c r="AP222">
        <f t="shared" si="202"/>
        <v>0</v>
      </c>
      <c r="AQ222">
        <f t="shared" si="203"/>
        <v>0</v>
      </c>
      <c r="AR222">
        <f t="shared" si="204"/>
        <v>0</v>
      </c>
    </row>
    <row r="223" spans="1:45" x14ac:dyDescent="0.25">
      <c r="F223">
        <f t="shared" si="188"/>
        <v>0</v>
      </c>
      <c r="G223">
        <f t="shared" si="189"/>
        <v>1</v>
      </c>
      <c r="N223" s="4"/>
      <c r="P223" s="86">
        <v>0</v>
      </c>
      <c r="Q223" s="1">
        <f t="shared" si="187"/>
        <v>0</v>
      </c>
      <c r="R223">
        <f t="shared" si="205"/>
        <v>0</v>
      </c>
      <c r="S223" s="6"/>
      <c r="T223" s="61"/>
      <c r="U223" s="61">
        <f t="shared" si="190"/>
        <v>0</v>
      </c>
      <c r="V223" s="7" t="str">
        <f t="shared" si="191"/>
        <v>NONE</v>
      </c>
      <c r="W223" s="56"/>
      <c r="X223" s="5"/>
      <c r="Y223" s="61">
        <f t="shared" si="175"/>
        <v>0</v>
      </c>
      <c r="Z223" s="61"/>
      <c r="AA223" s="1">
        <f t="shared" si="192"/>
        <v>0</v>
      </c>
      <c r="AB223" s="1">
        <f t="shared" si="193"/>
        <v>0</v>
      </c>
      <c r="AC223" s="1"/>
      <c r="AD223" s="65">
        <f t="shared" si="194"/>
        <v>0</v>
      </c>
      <c r="AE223" s="1"/>
      <c r="AF223" s="1">
        <f t="shared" si="195"/>
        <v>0</v>
      </c>
      <c r="AG223" s="1">
        <f>IF(AH223&gt;0,AH109:AH223,0)</f>
        <v>0</v>
      </c>
      <c r="AH223" s="1">
        <f t="shared" si="196"/>
        <v>0</v>
      </c>
      <c r="AJ223">
        <f t="shared" si="197"/>
        <v>0</v>
      </c>
      <c r="AK223">
        <f t="shared" si="198"/>
        <v>0</v>
      </c>
      <c r="AL223">
        <f t="shared" si="199"/>
        <v>0</v>
      </c>
      <c r="AM223">
        <f t="shared" si="200"/>
        <v>0</v>
      </c>
      <c r="AO223">
        <f t="shared" si="201"/>
        <v>0</v>
      </c>
      <c r="AP223">
        <f t="shared" si="202"/>
        <v>0</v>
      </c>
      <c r="AQ223">
        <f t="shared" si="203"/>
        <v>0</v>
      </c>
      <c r="AR223">
        <f t="shared" si="204"/>
        <v>0</v>
      </c>
    </row>
    <row r="224" spans="1:45" x14ac:dyDescent="0.25">
      <c r="A224" s="40"/>
      <c r="B224" s="155">
        <f>COUNTIFS(E$186:E223,"&lt;&gt;NA")-COUNTIFS(E$186:E223,"="&amp;E1)</f>
        <v>20</v>
      </c>
      <c r="C224" s="140" t="s">
        <v>472</v>
      </c>
      <c r="D224" s="140"/>
      <c r="E224" s="40">
        <f>SUM(F186:F223)</f>
        <v>117</v>
      </c>
      <c r="F224" s="40"/>
      <c r="G224" s="40"/>
      <c r="H224" s="54" t="s">
        <v>215</v>
      </c>
      <c r="I224" s="53">
        <f>SUM(I185:I223)-SUM(F186:F223)</f>
        <v>223</v>
      </c>
      <c r="J224" s="53"/>
      <c r="K224" s="52">
        <f>ROUND(I224/7,0)</f>
        <v>32</v>
      </c>
      <c r="L224" s="52" t="s">
        <v>214</v>
      </c>
      <c r="M224" s="54" t="s">
        <v>216</v>
      </c>
      <c r="N224" s="123">
        <f>ROUND(AG224/K224,0)</f>
        <v>1431</v>
      </c>
      <c r="O224" s="40"/>
      <c r="P224" s="71">
        <f>SUM(P186:P223)</f>
        <v>46530.950000000004</v>
      </c>
      <c r="Q224" s="43"/>
      <c r="R224" s="69">
        <f>AA224</f>
        <v>0</v>
      </c>
      <c r="S224" s="68" t="s">
        <v>254</v>
      </c>
      <c r="T224" s="101"/>
      <c r="U224" s="62"/>
      <c r="V224" s="42"/>
      <c r="W224" s="42"/>
      <c r="X224" s="41"/>
      <c r="Y224" s="43"/>
      <c r="Z224" s="43">
        <f>AA224</f>
        <v>0</v>
      </c>
      <c r="AA224" s="43">
        <f>SUM(AA186:AA223)</f>
        <v>0</v>
      </c>
      <c r="AB224" s="43">
        <f>SUM(AB186:AB223)</f>
        <v>4160</v>
      </c>
      <c r="AC224" s="43">
        <f>AB224</f>
        <v>4160</v>
      </c>
      <c r="AD224" s="40"/>
      <c r="AE224" s="43"/>
      <c r="AF224" s="43">
        <f>SUM(AF186:AF223)</f>
        <v>660</v>
      </c>
      <c r="AG224" s="43">
        <f>SUM(AG186:AG223)</f>
        <v>45776.950000000004</v>
      </c>
      <c r="AH224" s="71">
        <f>SUM(AH186:AH223)</f>
        <v>43296.950000000004</v>
      </c>
      <c r="AI224" s="40">
        <f>AH224</f>
        <v>43296.950000000004</v>
      </c>
      <c r="AJ224" s="104">
        <f>SUM(AJ186:AJ223)</f>
        <v>6722</v>
      </c>
      <c r="AK224" s="104">
        <f>SUM(AK186:AK223)</f>
        <v>3337</v>
      </c>
      <c r="AL224" s="104">
        <f>SUM(AL186:AL223)</f>
        <v>0</v>
      </c>
      <c r="AM224" s="104">
        <f>SUM(AM186:AM223)</f>
        <v>3932</v>
      </c>
      <c r="AN224" s="106">
        <f>SUM(AJ224:AM224)</f>
        <v>13991</v>
      </c>
      <c r="AO224" s="104">
        <f>SUM(AO186:AO223)</f>
        <v>6722</v>
      </c>
      <c r="AP224" s="104">
        <f>SUM(AP186:AP223)</f>
        <v>3337</v>
      </c>
      <c r="AQ224" s="104">
        <f>SUM(AQ186:AQ223)</f>
        <v>0</v>
      </c>
      <c r="AR224" s="104">
        <f>SUM(AR186:AR223)</f>
        <v>3932</v>
      </c>
      <c r="AS224" s="106">
        <f>SUM(AO224:AR224)</f>
        <v>13991</v>
      </c>
    </row>
    <row r="225" spans="1:45" ht="21" customHeight="1" x14ac:dyDescent="0.35">
      <c r="A225" s="105"/>
      <c r="B225" s="122">
        <v>2016</v>
      </c>
      <c r="C225" s="107"/>
      <c r="D225" s="107"/>
      <c r="E225" s="105"/>
      <c r="F225" s="105"/>
      <c r="G225" s="105"/>
      <c r="H225" s="108"/>
      <c r="I225" s="109"/>
      <c r="J225" s="109"/>
      <c r="K225" s="110"/>
      <c r="L225" s="110"/>
      <c r="M225" s="108"/>
      <c r="N225" s="111"/>
      <c r="O225" s="105"/>
      <c r="P225" s="112"/>
      <c r="Q225" s="113"/>
      <c r="R225" s="114"/>
      <c r="S225" s="115"/>
      <c r="T225" s="116"/>
      <c r="U225" s="117"/>
      <c r="V225" s="118"/>
      <c r="W225" s="118"/>
      <c r="X225" s="119"/>
      <c r="Y225" s="113"/>
      <c r="Z225" s="113"/>
      <c r="AA225" s="113"/>
      <c r="AB225" s="113"/>
      <c r="AC225" s="113"/>
      <c r="AD225" s="105"/>
      <c r="AE225" s="113"/>
      <c r="AF225" s="113"/>
      <c r="AG225" s="113"/>
      <c r="AH225" s="112"/>
      <c r="AI225" s="40"/>
      <c r="AJ225" s="96">
        <f>ROUNDUP(AJ224*0.04,0)</f>
        <v>269</v>
      </c>
      <c r="AK225" s="96">
        <f>ROUNDUP(AK224*0.04,0)</f>
        <v>134</v>
      </c>
      <c r="AL225" s="96">
        <f>ROUNDUP(AL224*0.04,0)</f>
        <v>0</v>
      </c>
      <c r="AM225" s="96">
        <f>ROUNDUP(AM224*0.04,0)</f>
        <v>158</v>
      </c>
      <c r="AN225" s="106">
        <f>SUM(AJ225:AM225)</f>
        <v>561</v>
      </c>
      <c r="AO225" s="96">
        <f>ROUNDUP(AO224*0.06,0)</f>
        <v>404</v>
      </c>
      <c r="AP225" s="96">
        <f>ROUNDUP(AP224*0.06,0)</f>
        <v>201</v>
      </c>
      <c r="AQ225" s="96">
        <f>ROUNDUP(AQ224*0.06,0)</f>
        <v>0</v>
      </c>
      <c r="AR225" s="96">
        <f>ROUNDUP(AR224*0.06,0)</f>
        <v>236</v>
      </c>
      <c r="AS225" s="106">
        <f>SUM(AO225:AR225)</f>
        <v>841</v>
      </c>
    </row>
    <row r="226" spans="1:45" x14ac:dyDescent="0.25">
      <c r="B226" s="8" t="s">
        <v>825</v>
      </c>
      <c r="C226" t="s">
        <v>826</v>
      </c>
      <c r="E226" t="s">
        <v>616</v>
      </c>
      <c r="F226">
        <f t="shared" ref="F226:F232" si="206">IF(E226=$B$12,I226,0)</f>
        <v>0</v>
      </c>
      <c r="G226">
        <f t="shared" ref="G226:G256" si="207">IF(F226&gt;0,0,1)</f>
        <v>1</v>
      </c>
      <c r="H226" t="s">
        <v>823</v>
      </c>
      <c r="I226" s="121">
        <v>7</v>
      </c>
      <c r="K226" t="s">
        <v>615</v>
      </c>
      <c r="L226" t="s">
        <v>55</v>
      </c>
      <c r="N226" s="4" t="s">
        <v>36</v>
      </c>
      <c r="P226" s="86">
        <v>2478</v>
      </c>
      <c r="Q226" s="1">
        <f t="shared" ref="Q226:Q271" si="208">ROUND((P226*0.4),0)</f>
        <v>991</v>
      </c>
      <c r="R226">
        <f t="shared" ref="R226:R242" si="209">IF(P226&gt;0,((P226+500)-Q226)+U226,0)</f>
        <v>1987</v>
      </c>
      <c r="S226" s="168" t="s">
        <v>824</v>
      </c>
      <c r="T226" s="61"/>
      <c r="U226" s="61">
        <f t="shared" ref="U226:U238" si="210">IF(V226=$AE$2,47,IF(V226=$AE$1,ROUND(((P226+500)*0.039),0),IF(V226=$AE$3,0)))</f>
        <v>0</v>
      </c>
      <c r="V226" s="7" t="str">
        <f t="shared" ref="V226:V256" si="211">IF(W226=1,$AE$2,IF(W226=2,$AE$1,IF(AND(W226&lt;&gt;1,W226&lt;&gt;20)=TRUE,$AE$3)))</f>
        <v>NONE</v>
      </c>
      <c r="W226" s="56"/>
      <c r="X226" s="87" t="s">
        <v>25</v>
      </c>
      <c r="Y226" s="61">
        <f t="shared" ref="Y226:Y271" si="212">R226+Q226</f>
        <v>2978</v>
      </c>
      <c r="Z226" s="61"/>
      <c r="AA226" s="1">
        <f t="shared" ref="AA226:AA250" si="213">IF(X226=$AA$1,R226-500,0)</f>
        <v>0</v>
      </c>
      <c r="AB226" s="1">
        <f t="shared" ref="AB226:AB256" si="214">IF(I226&gt;0,130,0)</f>
        <v>130</v>
      </c>
      <c r="AC226" s="1"/>
      <c r="AD226" s="65">
        <f t="shared" ref="AD226:AD256" si="215">(P226+U226)-AB226</f>
        <v>2348</v>
      </c>
      <c r="AE226" s="1"/>
      <c r="AF226" s="1">
        <f t="shared" ref="AF226:AF256" si="216">IF(I226&gt;0,30*G226,0)</f>
        <v>30</v>
      </c>
      <c r="AG226" s="1">
        <f>IF(AH226&gt;0,AH134:AH226,0)</f>
        <v>2318</v>
      </c>
      <c r="AH226" s="1">
        <f t="shared" ref="AH226:AH234" si="217">AD226-AF226</f>
        <v>2318</v>
      </c>
      <c r="AJ226">
        <f t="shared" ref="AJ226:AJ234" si="218">IF(T226=1,P226-U226,0)</f>
        <v>0</v>
      </c>
      <c r="AK226">
        <f t="shared" ref="AK226:AK234" si="219">IF(T226=2,P226-U226,0)</f>
        <v>0</v>
      </c>
      <c r="AL226">
        <f t="shared" ref="AL226:AL234" si="220">IF(T226=3,P226-U226,0)</f>
        <v>0</v>
      </c>
      <c r="AM226">
        <f t="shared" ref="AM226:AM234" si="221">IF(T226=4,P226-U226,0)</f>
        <v>0</v>
      </c>
      <c r="AO226">
        <f t="shared" ref="AO226:AO234" si="222">IF(T226=1,P226-U226,0)</f>
        <v>0</v>
      </c>
      <c r="AP226">
        <f t="shared" ref="AP226:AP234" si="223">IF(T226=2,P226-U226,0)</f>
        <v>0</v>
      </c>
      <c r="AQ226">
        <f t="shared" ref="AQ226:AQ234" si="224">IF(T226=3,P226-U226,0)</f>
        <v>0</v>
      </c>
      <c r="AR226">
        <f t="shared" ref="AR226:AR234" si="225">IF(T226=4,P226-U226,0)</f>
        <v>0</v>
      </c>
    </row>
    <row r="227" spans="1:45" x14ac:dyDescent="0.25">
      <c r="B227" s="82" t="s">
        <v>82</v>
      </c>
      <c r="C227" s="8" t="s">
        <v>42</v>
      </c>
      <c r="D227" s="8"/>
      <c r="E227" t="s">
        <v>42</v>
      </c>
      <c r="F227">
        <f t="shared" si="206"/>
        <v>4</v>
      </c>
      <c r="G227">
        <f>IF(F227&gt;0,0,1)</f>
        <v>0</v>
      </c>
      <c r="H227" s="83" t="s">
        <v>749</v>
      </c>
      <c r="I227" s="121">
        <v>4</v>
      </c>
      <c r="K227" t="s">
        <v>63</v>
      </c>
      <c r="L227" t="s">
        <v>55</v>
      </c>
      <c r="N227" s="4" t="s">
        <v>36</v>
      </c>
      <c r="P227" s="86">
        <v>0</v>
      </c>
      <c r="Q227" s="1">
        <f>ROUND((P227*0.4),0)</f>
        <v>0</v>
      </c>
      <c r="R227">
        <f>IF(P227&gt;0,((P227+500)-Q227)+U227,0)</f>
        <v>0</v>
      </c>
      <c r="S227" s="168"/>
      <c r="T227" s="61"/>
      <c r="U227" s="61">
        <f>IF(V227=$AE$2,47,IF(V227=$AE$1,ROUND(((P227+500)*0.039),0),IF(V227=$AE$3,0)))</f>
        <v>0</v>
      </c>
      <c r="V227" s="7" t="str">
        <f>IF(W227=1,$AE$2,IF(W227=2,$AE$1,IF(AND(W227&lt;&gt;1,W227&lt;&gt;20)=TRUE,$AE$3)))</f>
        <v>NONE</v>
      </c>
      <c r="W227" s="56"/>
      <c r="X227" s="5"/>
      <c r="Y227" s="61">
        <f>R227+Q227</f>
        <v>0</v>
      </c>
      <c r="Z227" s="61"/>
      <c r="AA227" s="1">
        <f>IF(X227=$AA$1,R227-500,0)</f>
        <v>0</v>
      </c>
      <c r="AB227" s="1">
        <f>IF(I227&gt;0,130,0)</f>
        <v>130</v>
      </c>
      <c r="AC227" s="1"/>
      <c r="AD227" s="65">
        <f>(P227+U227)-AB227</f>
        <v>-130</v>
      </c>
      <c r="AE227" s="1"/>
      <c r="AF227" s="1">
        <f>IF(I227&gt;0,30*G227,0)</f>
        <v>0</v>
      </c>
      <c r="AG227" s="1">
        <f>IF(AH227&gt;0,AH101:AH227,0)</f>
        <v>0</v>
      </c>
      <c r="AH227" s="1">
        <f>AD227-AF227</f>
        <v>-130</v>
      </c>
      <c r="AJ227">
        <f>IF(T227=1,P227-U227,0)</f>
        <v>0</v>
      </c>
      <c r="AK227">
        <f>IF(T227=2,P227-U227,0)</f>
        <v>0</v>
      </c>
      <c r="AL227">
        <f>IF(T227=3,P227-U227,0)</f>
        <v>0</v>
      </c>
      <c r="AM227">
        <f>IF(T227=4,P227-U227,0)</f>
        <v>0</v>
      </c>
      <c r="AO227">
        <f>IF(T227=1,P227-U227,0)</f>
        <v>0</v>
      </c>
      <c r="AP227">
        <f>IF(T227=2,P227-U227,0)</f>
        <v>0</v>
      </c>
      <c r="AQ227">
        <f>IF(T227=3,P227-U227,0)</f>
        <v>0</v>
      </c>
      <c r="AR227">
        <f>IF(T227=4,P227-U227,0)</f>
        <v>0</v>
      </c>
    </row>
    <row r="228" spans="1:45" ht="15.75" x14ac:dyDescent="0.25">
      <c r="B228" s="171" t="s">
        <v>814</v>
      </c>
      <c r="C228" t="s">
        <v>813</v>
      </c>
      <c r="E228" t="s">
        <v>370</v>
      </c>
      <c r="F228">
        <f t="shared" si="206"/>
        <v>0</v>
      </c>
      <c r="G228">
        <f>IF(F228&gt;0,0,1)</f>
        <v>1</v>
      </c>
      <c r="H228" t="s">
        <v>815</v>
      </c>
      <c r="I228" s="121">
        <v>7</v>
      </c>
      <c r="K228" t="s">
        <v>816</v>
      </c>
      <c r="L228" t="s">
        <v>55</v>
      </c>
      <c r="N228" s="4" t="s">
        <v>36</v>
      </c>
      <c r="P228" s="86">
        <v>2321</v>
      </c>
      <c r="Q228" s="1">
        <v>1160.5</v>
      </c>
      <c r="R228">
        <f t="shared" si="209"/>
        <v>1660.5</v>
      </c>
      <c r="S228" s="168" t="s">
        <v>817</v>
      </c>
      <c r="T228" s="61"/>
      <c r="U228" s="61">
        <f t="shared" si="210"/>
        <v>0</v>
      </c>
      <c r="V228" s="7" t="str">
        <f>IF(W228=1,$AE$2,IF(W228=2,$AE$1,IF(AND(W228&lt;&gt;1,W228&lt;&gt;20)=TRUE,$AE$3)))</f>
        <v>NONE</v>
      </c>
      <c r="W228" s="56"/>
      <c r="X228" s="174" t="s">
        <v>832</v>
      </c>
      <c r="Y228" s="61">
        <f>R228+Q228</f>
        <v>2821</v>
      </c>
      <c r="Z228" s="61"/>
      <c r="AA228" s="1">
        <f>IF(X228=$AA$1,R228-500,0)</f>
        <v>0</v>
      </c>
      <c r="AB228" s="1">
        <f>IF(I228&gt;0,130,0)</f>
        <v>130</v>
      </c>
      <c r="AC228" s="1"/>
      <c r="AD228" s="65">
        <f>(P228+U228)-AB228</f>
        <v>2191</v>
      </c>
      <c r="AE228" s="1"/>
      <c r="AF228" s="1">
        <f>IF(I228&gt;0,30*G228,0)</f>
        <v>30</v>
      </c>
      <c r="AG228" s="1">
        <f>IF(AH228&gt;0,AH111:AH228,0)</f>
        <v>2161</v>
      </c>
      <c r="AH228" s="1">
        <f t="shared" si="217"/>
        <v>2161</v>
      </c>
      <c r="AJ228">
        <f t="shared" si="218"/>
        <v>0</v>
      </c>
      <c r="AK228">
        <f t="shared" si="219"/>
        <v>0</v>
      </c>
      <c r="AL228">
        <f t="shared" si="220"/>
        <v>0</v>
      </c>
      <c r="AM228">
        <f t="shared" si="221"/>
        <v>0</v>
      </c>
      <c r="AO228">
        <f t="shared" si="222"/>
        <v>0</v>
      </c>
      <c r="AP228">
        <f t="shared" si="223"/>
        <v>0</v>
      </c>
      <c r="AQ228">
        <f t="shared" si="224"/>
        <v>0</v>
      </c>
      <c r="AR228">
        <f t="shared" si="225"/>
        <v>0</v>
      </c>
    </row>
    <row r="229" spans="1:45" x14ac:dyDescent="0.25">
      <c r="B229" s="82" t="s">
        <v>841</v>
      </c>
      <c r="C229" s="8" t="s">
        <v>42</v>
      </c>
      <c r="D229" s="8"/>
      <c r="E229" t="s">
        <v>42</v>
      </c>
      <c r="F229">
        <f t="shared" si="206"/>
        <v>3</v>
      </c>
      <c r="G229">
        <f t="shared" si="207"/>
        <v>0</v>
      </c>
      <c r="H229" s="83" t="s">
        <v>646</v>
      </c>
      <c r="I229" s="121">
        <v>3</v>
      </c>
      <c r="K229" t="s">
        <v>63</v>
      </c>
      <c r="L229" t="s">
        <v>55</v>
      </c>
      <c r="N229" s="4" t="s">
        <v>36</v>
      </c>
      <c r="P229" s="86">
        <v>0</v>
      </c>
      <c r="Q229" s="1">
        <f t="shared" si="208"/>
        <v>0</v>
      </c>
      <c r="R229">
        <f t="shared" si="209"/>
        <v>0</v>
      </c>
      <c r="S229" s="168"/>
      <c r="T229" s="61"/>
      <c r="U229" s="61">
        <f t="shared" si="210"/>
        <v>0</v>
      </c>
      <c r="V229" s="7" t="str">
        <f t="shared" si="211"/>
        <v>NONE</v>
      </c>
      <c r="W229" s="56"/>
      <c r="X229" s="5"/>
      <c r="Y229" s="61">
        <f t="shared" si="212"/>
        <v>0</v>
      </c>
      <c r="Z229" s="61"/>
      <c r="AA229" s="1">
        <f t="shared" si="213"/>
        <v>0</v>
      </c>
      <c r="AB229" s="1">
        <f t="shared" si="214"/>
        <v>130</v>
      </c>
      <c r="AC229" s="1"/>
      <c r="AD229" s="65">
        <f t="shared" si="215"/>
        <v>-130</v>
      </c>
      <c r="AE229" s="1"/>
      <c r="AF229" s="1">
        <f t="shared" si="216"/>
        <v>0</v>
      </c>
      <c r="AG229" s="1">
        <f>IF(AH229&gt;0,AH118:AH229,0)</f>
        <v>0</v>
      </c>
      <c r="AH229" s="1">
        <f t="shared" si="217"/>
        <v>-130</v>
      </c>
      <c r="AJ229">
        <f t="shared" si="218"/>
        <v>0</v>
      </c>
      <c r="AK229">
        <f t="shared" si="219"/>
        <v>0</v>
      </c>
      <c r="AL229">
        <f t="shared" si="220"/>
        <v>0</v>
      </c>
      <c r="AM229">
        <f t="shared" si="221"/>
        <v>0</v>
      </c>
      <c r="AO229">
        <f t="shared" si="222"/>
        <v>0</v>
      </c>
      <c r="AP229">
        <f t="shared" si="223"/>
        <v>0</v>
      </c>
      <c r="AQ229">
        <f t="shared" si="224"/>
        <v>0</v>
      </c>
      <c r="AR229">
        <f t="shared" si="225"/>
        <v>0</v>
      </c>
    </row>
    <row r="230" spans="1:45" ht="15.75" x14ac:dyDescent="0.25">
      <c r="B230" s="171" t="s">
        <v>858</v>
      </c>
      <c r="C230" s="171" t="s">
        <v>753</v>
      </c>
      <c r="D230" s="171"/>
      <c r="E230" t="s">
        <v>370</v>
      </c>
      <c r="F230">
        <f t="shared" si="206"/>
        <v>0</v>
      </c>
      <c r="G230">
        <f>IF(F230&gt;0,0,1)</f>
        <v>1</v>
      </c>
      <c r="H230" t="s">
        <v>755</v>
      </c>
      <c r="I230" s="121">
        <v>11</v>
      </c>
      <c r="K230" t="s">
        <v>754</v>
      </c>
      <c r="L230" t="s">
        <v>55</v>
      </c>
      <c r="N230" s="4" t="s">
        <v>36</v>
      </c>
      <c r="P230" s="86">
        <v>3460</v>
      </c>
      <c r="Q230" s="1">
        <f>ROUND((P230*0.4),0)</f>
        <v>1384</v>
      </c>
      <c r="R230">
        <f t="shared" si="209"/>
        <v>2576</v>
      </c>
      <c r="S230" s="168" t="s">
        <v>756</v>
      </c>
      <c r="T230" s="61"/>
      <c r="U230" s="61">
        <f t="shared" si="210"/>
        <v>0</v>
      </c>
      <c r="V230" s="7" t="str">
        <f>IF(W230=1,$AE$2,IF(W230=2,$AE$1,IF(AND(W230&lt;&gt;1,W230&lt;&gt;20)=TRUE,$AE$3)))</f>
        <v>NONE</v>
      </c>
      <c r="W230" s="56"/>
      <c r="X230" s="87" t="s">
        <v>879</v>
      </c>
      <c r="Y230" s="61">
        <f>R230+Q230</f>
        <v>3960</v>
      </c>
      <c r="Z230" s="61"/>
      <c r="AA230" s="1">
        <f>IF(X230=$AA$1,R230-500,0)</f>
        <v>0</v>
      </c>
      <c r="AB230" s="1">
        <f>IF(I230&gt;0,130,0)</f>
        <v>130</v>
      </c>
      <c r="AC230" s="1"/>
      <c r="AD230" s="65">
        <f>(P230+U230)-AB230</f>
        <v>3330</v>
      </c>
      <c r="AE230" s="1"/>
      <c r="AF230" s="1">
        <f>IF(I230&gt;0,30*G230,0)</f>
        <v>30</v>
      </c>
      <c r="AG230" s="1">
        <f>IF(AH230&gt;0,AH115:AH230,0)</f>
        <v>3300</v>
      </c>
      <c r="AH230" s="1">
        <f t="shared" si="217"/>
        <v>3300</v>
      </c>
      <c r="AJ230">
        <f t="shared" si="218"/>
        <v>0</v>
      </c>
      <c r="AK230">
        <f t="shared" si="219"/>
        <v>0</v>
      </c>
      <c r="AL230">
        <f t="shared" si="220"/>
        <v>0</v>
      </c>
      <c r="AM230">
        <f t="shared" si="221"/>
        <v>0</v>
      </c>
      <c r="AO230">
        <f t="shared" si="222"/>
        <v>0</v>
      </c>
      <c r="AP230">
        <f t="shared" si="223"/>
        <v>0</v>
      </c>
      <c r="AQ230">
        <f t="shared" si="224"/>
        <v>0</v>
      </c>
      <c r="AR230">
        <f t="shared" si="225"/>
        <v>0</v>
      </c>
    </row>
    <row r="231" spans="1:45" x14ac:dyDescent="0.25">
      <c r="B231" s="82" t="s">
        <v>82</v>
      </c>
      <c r="C231" s="8" t="s">
        <v>42</v>
      </c>
      <c r="D231" s="8"/>
      <c r="E231" t="s">
        <v>42</v>
      </c>
      <c r="F231">
        <f t="shared" si="206"/>
        <v>10</v>
      </c>
      <c r="G231">
        <f t="shared" si="207"/>
        <v>0</v>
      </c>
      <c r="H231" s="83" t="s">
        <v>647</v>
      </c>
      <c r="I231" s="121">
        <v>10</v>
      </c>
      <c r="K231" t="s">
        <v>63</v>
      </c>
      <c r="L231" t="s">
        <v>55</v>
      </c>
      <c r="N231" s="4" t="s">
        <v>36</v>
      </c>
      <c r="P231" s="86">
        <v>0</v>
      </c>
      <c r="Q231" s="1">
        <f t="shared" si="208"/>
        <v>0</v>
      </c>
      <c r="R231">
        <f t="shared" si="209"/>
        <v>0</v>
      </c>
      <c r="S231" s="168"/>
      <c r="T231" s="61"/>
      <c r="U231" s="61">
        <f t="shared" si="210"/>
        <v>0</v>
      </c>
      <c r="V231" s="7" t="str">
        <f t="shared" si="211"/>
        <v>NONE</v>
      </c>
      <c r="W231" s="56"/>
      <c r="X231" s="5"/>
      <c r="Y231" s="61">
        <f t="shared" si="212"/>
        <v>0</v>
      </c>
      <c r="Z231" s="61"/>
      <c r="AA231" s="1">
        <f t="shared" si="213"/>
        <v>0</v>
      </c>
      <c r="AB231" s="1">
        <f t="shared" si="214"/>
        <v>130</v>
      </c>
      <c r="AC231" s="1"/>
      <c r="AD231" s="65">
        <f t="shared" si="215"/>
        <v>-130</v>
      </c>
      <c r="AE231" s="1"/>
      <c r="AF231" s="1">
        <f t="shared" si="216"/>
        <v>0</v>
      </c>
      <c r="AG231" s="1">
        <f>IF(AH231&gt;0,AH119:AH241,0)</f>
        <v>0</v>
      </c>
      <c r="AH231" s="1">
        <f t="shared" si="217"/>
        <v>-130</v>
      </c>
      <c r="AJ231">
        <f t="shared" si="218"/>
        <v>0</v>
      </c>
      <c r="AK231">
        <f t="shared" si="219"/>
        <v>0</v>
      </c>
      <c r="AL231">
        <f t="shared" si="220"/>
        <v>0</v>
      </c>
      <c r="AM231">
        <f t="shared" si="221"/>
        <v>0</v>
      </c>
      <c r="AO231">
        <f t="shared" si="222"/>
        <v>0</v>
      </c>
      <c r="AP231">
        <f t="shared" si="223"/>
        <v>0</v>
      </c>
      <c r="AQ231">
        <f t="shared" si="224"/>
        <v>0</v>
      </c>
      <c r="AR231">
        <f t="shared" si="225"/>
        <v>0</v>
      </c>
    </row>
    <row r="232" spans="1:45" x14ac:dyDescent="0.25">
      <c r="B232" s="121" t="s">
        <v>859</v>
      </c>
      <c r="C232" t="s">
        <v>540</v>
      </c>
      <c r="E232" t="s">
        <v>30</v>
      </c>
      <c r="F232">
        <f t="shared" si="206"/>
        <v>0</v>
      </c>
      <c r="G232">
        <f t="shared" si="207"/>
        <v>1</v>
      </c>
      <c r="H232" s="121" t="s">
        <v>750</v>
      </c>
      <c r="I232" s="121">
        <v>18</v>
      </c>
      <c r="K232" t="s">
        <v>434</v>
      </c>
      <c r="L232" t="s">
        <v>55</v>
      </c>
      <c r="N232" s="4" t="s">
        <v>36</v>
      </c>
      <c r="P232" s="167">
        <v>3961</v>
      </c>
      <c r="Q232" s="1">
        <f t="shared" si="208"/>
        <v>1584</v>
      </c>
      <c r="R232">
        <f t="shared" si="209"/>
        <v>3051</v>
      </c>
      <c r="S232" s="168" t="s">
        <v>710</v>
      </c>
      <c r="T232" s="61"/>
      <c r="U232" s="61">
        <f t="shared" si="210"/>
        <v>174</v>
      </c>
      <c r="V232" s="7" t="str">
        <f t="shared" si="211"/>
        <v>PAYPAL</v>
      </c>
      <c r="W232" s="56">
        <v>2</v>
      </c>
      <c r="X232" t="s">
        <v>890</v>
      </c>
      <c r="Y232" s="61">
        <f t="shared" si="212"/>
        <v>4635</v>
      </c>
      <c r="Z232" s="61"/>
      <c r="AA232" s="1">
        <f t="shared" si="213"/>
        <v>0</v>
      </c>
      <c r="AB232" s="1">
        <f t="shared" si="214"/>
        <v>130</v>
      </c>
      <c r="AC232" s="1"/>
      <c r="AD232" s="65">
        <f t="shared" si="215"/>
        <v>4005</v>
      </c>
      <c r="AE232" s="1"/>
      <c r="AF232" s="1">
        <f t="shared" si="216"/>
        <v>30</v>
      </c>
      <c r="AG232" s="1">
        <f>IF(AH232&gt;0,AH120:AH232,0)</f>
        <v>3975</v>
      </c>
      <c r="AH232" s="1">
        <f t="shared" si="217"/>
        <v>3975</v>
      </c>
      <c r="AJ232">
        <f t="shared" si="218"/>
        <v>0</v>
      </c>
      <c r="AK232">
        <f t="shared" si="219"/>
        <v>0</v>
      </c>
      <c r="AL232">
        <f t="shared" si="220"/>
        <v>0</v>
      </c>
      <c r="AM232">
        <f t="shared" si="221"/>
        <v>0</v>
      </c>
      <c r="AO232">
        <f t="shared" si="222"/>
        <v>0</v>
      </c>
      <c r="AP232">
        <f t="shared" si="223"/>
        <v>0</v>
      </c>
      <c r="AQ232">
        <f t="shared" si="224"/>
        <v>0</v>
      </c>
      <c r="AR232">
        <f t="shared" si="225"/>
        <v>0</v>
      </c>
    </row>
    <row r="233" spans="1:45" x14ac:dyDescent="0.25">
      <c r="B233" s="8" t="s">
        <v>745</v>
      </c>
      <c r="C233" t="s">
        <v>746</v>
      </c>
      <c r="E233" t="s">
        <v>370</v>
      </c>
      <c r="F233">
        <f>IF(E184=$B$12,I233,0)</f>
        <v>0</v>
      </c>
      <c r="G233">
        <f t="shared" si="207"/>
        <v>1</v>
      </c>
      <c r="H233" s="121" t="s">
        <v>751</v>
      </c>
      <c r="I233" s="121">
        <v>6</v>
      </c>
      <c r="K233" t="s">
        <v>103</v>
      </c>
      <c r="L233" t="s">
        <v>55</v>
      </c>
      <c r="N233" s="4" t="s">
        <v>36</v>
      </c>
      <c r="P233" s="86">
        <v>1766</v>
      </c>
      <c r="Q233" s="1">
        <f t="shared" si="208"/>
        <v>706</v>
      </c>
      <c r="R233">
        <v>1560</v>
      </c>
      <c r="S233" s="168" t="s">
        <v>752</v>
      </c>
      <c r="T233" s="61"/>
      <c r="U233" s="61">
        <f t="shared" si="210"/>
        <v>88</v>
      </c>
      <c r="V233" s="7" t="str">
        <f t="shared" si="211"/>
        <v>PAYPAL</v>
      </c>
      <c r="W233" s="56">
        <v>2</v>
      </c>
      <c r="X233" t="s">
        <v>890</v>
      </c>
      <c r="Y233" s="61">
        <f t="shared" si="212"/>
        <v>2266</v>
      </c>
      <c r="Z233" s="61"/>
      <c r="AA233" s="1">
        <f t="shared" si="213"/>
        <v>0</v>
      </c>
      <c r="AB233" s="1">
        <f t="shared" si="214"/>
        <v>130</v>
      </c>
      <c r="AC233" s="1"/>
      <c r="AD233" s="65">
        <f t="shared" si="215"/>
        <v>1724</v>
      </c>
      <c r="AE233" s="1"/>
      <c r="AF233" s="1">
        <f t="shared" si="216"/>
        <v>30</v>
      </c>
      <c r="AG233" s="1">
        <f>IF(AH233&gt;0,AH122:AH233,0)</f>
        <v>1694</v>
      </c>
      <c r="AH233" s="1">
        <f t="shared" si="217"/>
        <v>1694</v>
      </c>
      <c r="AJ233">
        <f t="shared" si="218"/>
        <v>0</v>
      </c>
      <c r="AK233">
        <f t="shared" si="219"/>
        <v>0</v>
      </c>
      <c r="AL233">
        <f t="shared" si="220"/>
        <v>0</v>
      </c>
      <c r="AM233">
        <f t="shared" si="221"/>
        <v>0</v>
      </c>
      <c r="AO233">
        <f t="shared" si="222"/>
        <v>0</v>
      </c>
      <c r="AP233">
        <f t="shared" si="223"/>
        <v>0</v>
      </c>
      <c r="AQ233">
        <f t="shared" si="224"/>
        <v>0</v>
      </c>
      <c r="AR233">
        <f t="shared" si="225"/>
        <v>0</v>
      </c>
    </row>
    <row r="234" spans="1:45" x14ac:dyDescent="0.25">
      <c r="B234" s="82" t="s">
        <v>82</v>
      </c>
      <c r="C234" s="8" t="s">
        <v>42</v>
      </c>
      <c r="D234" s="8"/>
      <c r="E234" t="s">
        <v>42</v>
      </c>
      <c r="F234">
        <f t="shared" ref="F234:F256" si="226">IF(E234=$B$12,I234,0)</f>
        <v>10</v>
      </c>
      <c r="G234">
        <f t="shared" si="207"/>
        <v>0</v>
      </c>
      <c r="H234" s="83" t="s">
        <v>648</v>
      </c>
      <c r="I234" s="121">
        <v>10</v>
      </c>
      <c r="K234" t="s">
        <v>63</v>
      </c>
      <c r="L234" t="s">
        <v>55</v>
      </c>
      <c r="N234" s="4" t="s">
        <v>36</v>
      </c>
      <c r="P234" s="86">
        <v>0</v>
      </c>
      <c r="Q234" s="1">
        <f t="shared" si="208"/>
        <v>0</v>
      </c>
      <c r="R234">
        <f t="shared" si="209"/>
        <v>0</v>
      </c>
      <c r="S234" s="168"/>
      <c r="T234" s="61"/>
      <c r="U234" s="61">
        <f t="shared" si="210"/>
        <v>0</v>
      </c>
      <c r="V234" s="7" t="str">
        <f t="shared" si="211"/>
        <v>NONE</v>
      </c>
      <c r="W234" s="56"/>
      <c r="X234" s="5"/>
      <c r="Y234" s="61">
        <f t="shared" si="212"/>
        <v>0</v>
      </c>
      <c r="Z234" s="61"/>
      <c r="AA234" s="1">
        <f t="shared" si="213"/>
        <v>0</v>
      </c>
      <c r="AB234" s="1">
        <f t="shared" si="214"/>
        <v>130</v>
      </c>
      <c r="AC234" s="1"/>
      <c r="AD234" s="65">
        <f t="shared" si="215"/>
        <v>-130</v>
      </c>
      <c r="AE234" s="1"/>
      <c r="AF234" s="1">
        <f t="shared" si="216"/>
        <v>0</v>
      </c>
      <c r="AG234" s="1">
        <f>IF(AH234&gt;0,AH130:AH234,0)</f>
        <v>0</v>
      </c>
      <c r="AH234" s="1">
        <f t="shared" si="217"/>
        <v>-130</v>
      </c>
      <c r="AJ234">
        <f t="shared" si="218"/>
        <v>0</v>
      </c>
      <c r="AK234">
        <f t="shared" si="219"/>
        <v>0</v>
      </c>
      <c r="AL234">
        <f t="shared" si="220"/>
        <v>0</v>
      </c>
      <c r="AM234">
        <f t="shared" si="221"/>
        <v>0</v>
      </c>
      <c r="AO234">
        <f t="shared" si="222"/>
        <v>0</v>
      </c>
      <c r="AP234">
        <f t="shared" si="223"/>
        <v>0</v>
      </c>
      <c r="AQ234">
        <f t="shared" si="224"/>
        <v>0</v>
      </c>
      <c r="AR234">
        <f t="shared" si="225"/>
        <v>0</v>
      </c>
    </row>
    <row r="235" spans="1:45" x14ac:dyDescent="0.25">
      <c r="B235" s="121" t="s">
        <v>833</v>
      </c>
      <c r="C235" t="s">
        <v>830</v>
      </c>
      <c r="E235" t="s">
        <v>370</v>
      </c>
      <c r="F235">
        <f t="shared" si="226"/>
        <v>0</v>
      </c>
      <c r="G235">
        <f t="shared" si="207"/>
        <v>1</v>
      </c>
      <c r="H235" t="s">
        <v>829</v>
      </c>
      <c r="I235" s="121">
        <v>5</v>
      </c>
      <c r="K235" t="s">
        <v>835</v>
      </c>
      <c r="L235" t="s">
        <v>55</v>
      </c>
      <c r="N235" s="4" t="s">
        <v>36</v>
      </c>
      <c r="P235" s="86">
        <v>2321</v>
      </c>
      <c r="Q235" s="1">
        <v>746</v>
      </c>
      <c r="R235">
        <f>IF(P235&gt;0,((P235+500)-Q235)+U235,0)</f>
        <v>2075</v>
      </c>
      <c r="S235" s="168" t="s">
        <v>831</v>
      </c>
      <c r="T235" s="61"/>
      <c r="U235" s="61">
        <f t="shared" si="210"/>
        <v>0</v>
      </c>
      <c r="V235" s="7" t="str">
        <f t="shared" si="211"/>
        <v>NONE</v>
      </c>
      <c r="W235" s="56"/>
      <c r="X235" s="5" t="s">
        <v>906</v>
      </c>
      <c r="Y235" s="61">
        <f t="shared" si="212"/>
        <v>2821</v>
      </c>
      <c r="Z235" s="61"/>
      <c r="AA235" s="1">
        <f t="shared" si="213"/>
        <v>0</v>
      </c>
      <c r="AB235" s="1">
        <f t="shared" si="214"/>
        <v>130</v>
      </c>
      <c r="AC235" s="1"/>
      <c r="AD235" s="65">
        <f t="shared" si="215"/>
        <v>2191</v>
      </c>
      <c r="AE235" s="1"/>
      <c r="AF235" s="1">
        <f t="shared" si="216"/>
        <v>30</v>
      </c>
      <c r="AG235" s="1">
        <f>IF(AH235&gt;0,AH109:AH235,0)</f>
        <v>2161</v>
      </c>
      <c r="AH235" s="1">
        <f>AD235-AF235</f>
        <v>2161</v>
      </c>
      <c r="AJ235">
        <f>IF(T235=1,P235-U235,0)</f>
        <v>0</v>
      </c>
      <c r="AK235">
        <f>IF(T235=2,P235-U235,0)</f>
        <v>0</v>
      </c>
      <c r="AL235">
        <f>IF(T235=3,P235-U235,0)</f>
        <v>0</v>
      </c>
      <c r="AM235">
        <f>IF(T235=4,P235-U235,0)</f>
        <v>0</v>
      </c>
      <c r="AO235">
        <f>IF(T235=1,P235-U235,0)</f>
        <v>0</v>
      </c>
      <c r="AP235">
        <f>IF(T235=2,P235-U235,0)</f>
        <v>0</v>
      </c>
      <c r="AQ235">
        <f>IF(T235=3,P235-U235,0)</f>
        <v>0</v>
      </c>
      <c r="AR235">
        <f>IF(T235=4,P235-U235,0)</f>
        <v>0</v>
      </c>
    </row>
    <row r="236" spans="1:45" x14ac:dyDescent="0.25">
      <c r="B236" s="120"/>
      <c r="H236" s="121"/>
      <c r="I236" s="121">
        <v>0</v>
      </c>
      <c r="L236" t="s">
        <v>55</v>
      </c>
      <c r="N236" s="4" t="s">
        <v>36</v>
      </c>
      <c r="P236" s="86">
        <v>0</v>
      </c>
      <c r="Q236" s="1">
        <f t="shared" si="208"/>
        <v>0</v>
      </c>
      <c r="R236">
        <f t="shared" si="209"/>
        <v>0</v>
      </c>
      <c r="S236" s="168"/>
      <c r="T236" s="61"/>
      <c r="U236" s="61">
        <f t="shared" si="210"/>
        <v>20</v>
      </c>
      <c r="V236" s="7" t="str">
        <f t="shared" si="211"/>
        <v>PAYPAL</v>
      </c>
      <c r="W236" s="56">
        <v>2</v>
      </c>
      <c r="X236" s="92"/>
      <c r="Y236" s="61">
        <f t="shared" si="212"/>
        <v>0</v>
      </c>
      <c r="Z236" s="61"/>
      <c r="AA236" s="1">
        <f t="shared" si="213"/>
        <v>0</v>
      </c>
      <c r="AB236" s="1">
        <f t="shared" si="214"/>
        <v>0</v>
      </c>
      <c r="AC236" s="1"/>
      <c r="AD236" s="65">
        <f t="shared" si="215"/>
        <v>20</v>
      </c>
      <c r="AE236" s="1"/>
      <c r="AF236" s="1">
        <f t="shared" si="216"/>
        <v>0</v>
      </c>
      <c r="AG236" s="1">
        <f>IF(AH236&gt;0,AH126:AH259,0)</f>
        <v>20</v>
      </c>
      <c r="AH236" s="1">
        <f>AD236-AF236</f>
        <v>20</v>
      </c>
      <c r="AJ236">
        <f>IF(T236=1,P236-U236,0)</f>
        <v>0</v>
      </c>
      <c r="AK236">
        <f>IF(T236=2,P236-U236,0)</f>
        <v>0</v>
      </c>
      <c r="AL236">
        <f>IF(T236=3,P236-U236,0)</f>
        <v>0</v>
      </c>
      <c r="AM236">
        <f>IF(T236=4,P236-U236,0)</f>
        <v>0</v>
      </c>
      <c r="AO236">
        <f>IF(T236=1,P236-U236,0)</f>
        <v>0</v>
      </c>
      <c r="AP236">
        <f>IF(T236=2,P236-U236,0)</f>
        <v>0</v>
      </c>
      <c r="AQ236">
        <f>IF(T236=3,P236-U236,0)</f>
        <v>0</v>
      </c>
      <c r="AR236">
        <f>IF(T236=4,P236-U236,0)</f>
        <v>0</v>
      </c>
    </row>
    <row r="237" spans="1:45" x14ac:dyDescent="0.25">
      <c r="B237" s="8" t="s">
        <v>882</v>
      </c>
      <c r="C237" s="8" t="s">
        <v>881</v>
      </c>
      <c r="D237" s="8"/>
      <c r="E237" t="s">
        <v>885</v>
      </c>
      <c r="F237">
        <f>IF(E237=$B$12,I237,0)</f>
        <v>0</v>
      </c>
      <c r="G237">
        <f>IF(F237&gt;0,0,1)</f>
        <v>1</v>
      </c>
      <c r="H237" t="s">
        <v>880</v>
      </c>
      <c r="I237" s="121">
        <v>7</v>
      </c>
      <c r="K237" t="s">
        <v>883</v>
      </c>
      <c r="L237" t="s">
        <v>55</v>
      </c>
      <c r="N237" s="4" t="s">
        <v>36</v>
      </c>
      <c r="P237" s="86">
        <v>1930</v>
      </c>
      <c r="Q237" s="1">
        <v>1930</v>
      </c>
      <c r="R237">
        <f>IF(P237&gt;0,((P237+500)-Q237)+U237,0)</f>
        <v>500</v>
      </c>
      <c r="S237" s="168" t="s">
        <v>34</v>
      </c>
      <c r="T237" s="61"/>
      <c r="U237" s="61">
        <f t="shared" si="210"/>
        <v>0</v>
      </c>
      <c r="V237" s="7" t="str">
        <f>IF(W237=1,$AE$2,IF(W237=2,$AE$1,IF(AND(W237&lt;&gt;1,W237&lt;&gt;20)=TRUE,$AE$3)))</f>
        <v>NONE</v>
      </c>
      <c r="W237" s="56"/>
      <c r="X237" s="5" t="s">
        <v>909</v>
      </c>
      <c r="Y237" s="61">
        <f>R237+Q237</f>
        <v>2430</v>
      </c>
      <c r="Z237" s="61"/>
      <c r="AA237" s="1">
        <f>IF(X237=$AA$1,R237-500,0)</f>
        <v>0</v>
      </c>
      <c r="AB237" s="1">
        <f>IF(I237&gt;0,130,0)</f>
        <v>130</v>
      </c>
      <c r="AC237" s="1"/>
      <c r="AD237" s="65">
        <f>(P237+U237)-AB237</f>
        <v>1800</v>
      </c>
      <c r="AE237" s="1"/>
      <c r="AF237" s="1">
        <f>IF(I237&gt;0,30*G237,0)</f>
        <v>30</v>
      </c>
      <c r="AG237" s="1">
        <f>IF(AH237&gt;0,AH125:AH257,0)</f>
        <v>1770</v>
      </c>
      <c r="AH237" s="1">
        <f>AD237-AF237</f>
        <v>1770</v>
      </c>
      <c r="AJ237">
        <f>IF(T237=1,P237-U237,0)</f>
        <v>0</v>
      </c>
      <c r="AK237">
        <f>IF(T237=2,P237-U237,0)</f>
        <v>0</v>
      </c>
      <c r="AL237">
        <f>IF(T237=3,P237-U237,0)</f>
        <v>0</v>
      </c>
      <c r="AM237">
        <f>IF(T237=4,P237-U237,0)</f>
        <v>0</v>
      </c>
      <c r="AO237">
        <f>IF(T237=1,P237-U237,0)</f>
        <v>0</v>
      </c>
      <c r="AP237">
        <f>IF(T237=2,P237-U237,0)</f>
        <v>0</v>
      </c>
      <c r="AQ237">
        <f>IF(T237=3,P237-U237,0)</f>
        <v>0</v>
      </c>
      <c r="AR237">
        <f>IF(T237=4,P237-U237,0)</f>
        <v>0</v>
      </c>
    </row>
    <row r="238" spans="1:45" x14ac:dyDescent="0.25">
      <c r="B238" s="150" t="s">
        <v>773</v>
      </c>
      <c r="C238" t="s">
        <v>772</v>
      </c>
      <c r="E238" t="s">
        <v>616</v>
      </c>
      <c r="F238">
        <f>IF(E238=$B$12,I238,0)</f>
        <v>0</v>
      </c>
      <c r="G238">
        <f>IF(F238&gt;0,0,1)</f>
        <v>1</v>
      </c>
      <c r="H238" s="175" t="s">
        <v>781</v>
      </c>
      <c r="I238" s="121">
        <v>7</v>
      </c>
      <c r="K238" t="s">
        <v>363</v>
      </c>
      <c r="L238" t="s">
        <v>55</v>
      </c>
      <c r="N238" s="4" t="s">
        <v>36</v>
      </c>
      <c r="P238" s="86">
        <v>2321</v>
      </c>
      <c r="Q238" s="1">
        <f>ROUND((P238*0.4),0)</f>
        <v>928</v>
      </c>
      <c r="R238">
        <f>IF(P238&gt;0,((P238+500)-Q238)+U238,0)</f>
        <v>1893</v>
      </c>
      <c r="S238" s="168" t="s">
        <v>774</v>
      </c>
      <c r="T238" s="61"/>
      <c r="U238" s="61">
        <f t="shared" si="210"/>
        <v>0</v>
      </c>
      <c r="V238" s="7" t="str">
        <f>IF(W238=1,$AE$2,IF(W238=2,$AE$1,IF(AND(W238&lt;&gt;1,W238&lt;&gt;20)=TRUE,$AE$3)))</f>
        <v>NONE</v>
      </c>
      <c r="W238" s="56"/>
      <c r="X238" s="5" t="s">
        <v>908</v>
      </c>
      <c r="Y238" s="61">
        <f>R238+Q238</f>
        <v>2821</v>
      </c>
      <c r="Z238" s="61"/>
      <c r="AA238" s="1">
        <f>IF(X238=$AA$1,R238-500,0)</f>
        <v>0</v>
      </c>
      <c r="AB238" s="1">
        <f>IF(I238&gt;0,130,0)</f>
        <v>130</v>
      </c>
      <c r="AC238" s="1"/>
      <c r="AD238" s="65">
        <f>(P238+U238)-AB238</f>
        <v>2191</v>
      </c>
      <c r="AE238" s="1"/>
      <c r="AF238" s="1">
        <f>IF(I238&gt;0,30*G238,0)</f>
        <v>30</v>
      </c>
      <c r="AG238" s="1">
        <f>IF(AH238&gt;0,AH127:AH238,0)</f>
        <v>2161</v>
      </c>
      <c r="AH238" s="1">
        <f>AD238-AF238</f>
        <v>2161</v>
      </c>
      <c r="AJ238">
        <f>IF(T238=1,P238-U238,0)</f>
        <v>0</v>
      </c>
      <c r="AK238">
        <f>IF(T238=2,P238-U238,0)</f>
        <v>0</v>
      </c>
      <c r="AL238">
        <f>IF(T238=3,P238-U238,0)</f>
        <v>0</v>
      </c>
      <c r="AM238">
        <f>IF(T238=4,P238-U238,0)</f>
        <v>0</v>
      </c>
      <c r="AO238">
        <f>IF(T238=1,P238-U238,0)</f>
        <v>0</v>
      </c>
      <c r="AP238">
        <f>IF(T238=2,P238-U238,0)</f>
        <v>0</v>
      </c>
      <c r="AQ238">
        <f>IF(T238=3,P238-U238,0)</f>
        <v>0</v>
      </c>
      <c r="AR238">
        <f>IF(T238=4,P238-U238,0)</f>
        <v>0</v>
      </c>
    </row>
    <row r="239" spans="1:45" x14ac:dyDescent="0.25">
      <c r="B239" s="82" t="s">
        <v>82</v>
      </c>
      <c r="C239" s="8" t="s">
        <v>42</v>
      </c>
      <c r="D239" s="8"/>
      <c r="E239" t="s">
        <v>42</v>
      </c>
      <c r="F239">
        <f t="shared" si="226"/>
        <v>9</v>
      </c>
      <c r="G239">
        <f t="shared" si="207"/>
        <v>0</v>
      </c>
      <c r="H239" s="83" t="s">
        <v>782</v>
      </c>
      <c r="I239" s="121">
        <v>9</v>
      </c>
      <c r="J239" s="48"/>
      <c r="K239" t="s">
        <v>63</v>
      </c>
      <c r="L239" t="s">
        <v>55</v>
      </c>
      <c r="M239" s="51"/>
      <c r="N239" s="4" t="s">
        <v>36</v>
      </c>
      <c r="P239" s="86">
        <v>0</v>
      </c>
      <c r="Q239" s="1">
        <f t="shared" si="208"/>
        <v>0</v>
      </c>
      <c r="R239">
        <f t="shared" si="209"/>
        <v>0</v>
      </c>
      <c r="S239" s="168"/>
      <c r="T239" s="61"/>
      <c r="U239" s="61">
        <v>0</v>
      </c>
      <c r="V239" s="7" t="str">
        <f t="shared" si="211"/>
        <v>NONE</v>
      </c>
      <c r="W239" s="56"/>
      <c r="X239" s="5"/>
      <c r="Y239" s="61">
        <f t="shared" si="212"/>
        <v>0</v>
      </c>
      <c r="Z239" s="61"/>
      <c r="AA239" s="1">
        <f t="shared" si="213"/>
        <v>0</v>
      </c>
      <c r="AB239" s="1">
        <f t="shared" si="214"/>
        <v>130</v>
      </c>
      <c r="AC239" s="1"/>
      <c r="AD239" s="65">
        <f t="shared" si="215"/>
        <v>-130</v>
      </c>
      <c r="AE239" s="1"/>
      <c r="AF239" s="1">
        <f t="shared" si="216"/>
        <v>0</v>
      </c>
      <c r="AG239" s="1">
        <f>IF(AH239&gt;0,AH134:AH239,0)</f>
        <v>0</v>
      </c>
      <c r="AH239" s="1">
        <f t="shared" ref="AH239:AH256" si="227">AD239-AF239</f>
        <v>-130</v>
      </c>
      <c r="AJ239">
        <f t="shared" ref="AJ239:AJ256" si="228">IF(T239=1,P239-U239,0)</f>
        <v>0</v>
      </c>
      <c r="AK239">
        <f t="shared" ref="AK239:AK256" si="229">IF(T239=2,P239-U239,0)</f>
        <v>0</v>
      </c>
      <c r="AL239">
        <f t="shared" ref="AL239:AL256" si="230">IF(T239=3,P239-U239,0)</f>
        <v>0</v>
      </c>
      <c r="AM239">
        <f t="shared" ref="AM239:AM256" si="231">IF(T239=4,P239-U239,0)</f>
        <v>0</v>
      </c>
      <c r="AO239">
        <f t="shared" ref="AO239:AO256" si="232">IF(T239=1,P239-U239,0)</f>
        <v>0</v>
      </c>
      <c r="AP239">
        <f t="shared" ref="AP239:AP256" si="233">IF(T239=2,P239-U239,0)</f>
        <v>0</v>
      </c>
      <c r="AQ239">
        <f t="shared" ref="AQ239:AQ256" si="234">IF(T239=3,P239-U239,0)</f>
        <v>0</v>
      </c>
      <c r="AR239">
        <f t="shared" ref="AR239:AR256" si="235">IF(T239=4,P239-U239,0)</f>
        <v>0</v>
      </c>
    </row>
    <row r="240" spans="1:45" x14ac:dyDescent="0.25">
      <c r="B240" s="181" t="s">
        <v>783</v>
      </c>
      <c r="C240" t="s">
        <v>784</v>
      </c>
      <c r="E240" t="s">
        <v>616</v>
      </c>
      <c r="F240">
        <f t="shared" si="226"/>
        <v>0</v>
      </c>
      <c r="G240">
        <f t="shared" si="207"/>
        <v>1</v>
      </c>
      <c r="H240" s="175" t="s">
        <v>785</v>
      </c>
      <c r="I240" s="121">
        <v>14</v>
      </c>
      <c r="K240" t="s">
        <v>777</v>
      </c>
      <c r="L240" t="s">
        <v>55</v>
      </c>
      <c r="N240" s="4" t="s">
        <v>36</v>
      </c>
      <c r="P240" s="86">
        <v>3038</v>
      </c>
      <c r="Q240" s="1">
        <f>ROUND((P240*0.4),0)</f>
        <v>1215</v>
      </c>
      <c r="R240">
        <f>IF(P240&gt;0,((P240+500)-Q240)+U240,0)</f>
        <v>2323</v>
      </c>
      <c r="S240" s="168" t="s">
        <v>786</v>
      </c>
      <c r="T240" s="61"/>
      <c r="U240" s="61">
        <f t="shared" ref="U240:U247" si="236">IF(V240=$AE$2,47,IF(V240=$AE$1,ROUND(((P240+500)*0.039),0),IF(V240=$AE$3,0)))</f>
        <v>0</v>
      </c>
      <c r="V240" s="7" t="str">
        <f t="shared" si="211"/>
        <v>NONE</v>
      </c>
      <c r="W240" s="56"/>
      <c r="X240" s="5" t="s">
        <v>884</v>
      </c>
      <c r="Y240" s="61">
        <f t="shared" si="212"/>
        <v>3538</v>
      </c>
      <c r="Z240" s="61"/>
      <c r="AA240" s="1">
        <f t="shared" si="213"/>
        <v>0</v>
      </c>
      <c r="AB240" s="1">
        <f t="shared" si="214"/>
        <v>130</v>
      </c>
      <c r="AC240" s="1"/>
      <c r="AD240" s="65">
        <f t="shared" si="215"/>
        <v>2908</v>
      </c>
      <c r="AE240" s="1"/>
      <c r="AF240" s="1">
        <f t="shared" si="216"/>
        <v>30</v>
      </c>
      <c r="AG240" s="1">
        <f>IF(AH240&gt;0,AH129:AH240,0)</f>
        <v>2878</v>
      </c>
      <c r="AH240" s="1">
        <f t="shared" si="227"/>
        <v>2878</v>
      </c>
      <c r="AJ240">
        <f t="shared" si="228"/>
        <v>0</v>
      </c>
      <c r="AK240">
        <f t="shared" si="229"/>
        <v>0</v>
      </c>
      <c r="AL240">
        <f t="shared" si="230"/>
        <v>0</v>
      </c>
      <c r="AM240">
        <f t="shared" si="231"/>
        <v>0</v>
      </c>
      <c r="AO240">
        <f t="shared" si="232"/>
        <v>0</v>
      </c>
      <c r="AP240">
        <f t="shared" si="233"/>
        <v>0</v>
      </c>
      <c r="AQ240">
        <f t="shared" si="234"/>
        <v>0</v>
      </c>
      <c r="AR240">
        <f t="shared" si="235"/>
        <v>0</v>
      </c>
    </row>
    <row r="241" spans="2:44" x14ac:dyDescent="0.25">
      <c r="B241" s="8" t="s">
        <v>912</v>
      </c>
      <c r="C241" t="s">
        <v>911</v>
      </c>
      <c r="E241" t="s">
        <v>885</v>
      </c>
      <c r="F241">
        <f t="shared" si="226"/>
        <v>0</v>
      </c>
      <c r="G241">
        <f t="shared" si="207"/>
        <v>1</v>
      </c>
      <c r="H241" t="s">
        <v>546</v>
      </c>
      <c r="I241" s="121">
        <v>7</v>
      </c>
      <c r="K241" t="s">
        <v>907</v>
      </c>
      <c r="L241" t="s">
        <v>55</v>
      </c>
      <c r="N241" s="4" t="s">
        <v>36</v>
      </c>
      <c r="P241" s="86">
        <v>1786</v>
      </c>
      <c r="Q241" s="1">
        <f t="shared" si="208"/>
        <v>714</v>
      </c>
      <c r="R241">
        <f t="shared" si="209"/>
        <v>1572</v>
      </c>
      <c r="S241" s="168" t="s">
        <v>34</v>
      </c>
      <c r="T241" s="61"/>
      <c r="U241" s="61">
        <f t="shared" si="236"/>
        <v>0</v>
      </c>
      <c r="V241" s="7" t="str">
        <f t="shared" si="211"/>
        <v>NONE</v>
      </c>
      <c r="W241" s="56"/>
      <c r="X241" s="5" t="s">
        <v>918</v>
      </c>
      <c r="Y241" s="61">
        <f t="shared" si="212"/>
        <v>2286</v>
      </c>
      <c r="Z241" s="61"/>
      <c r="AA241" s="1">
        <f t="shared" si="213"/>
        <v>0</v>
      </c>
      <c r="AB241" s="1">
        <f t="shared" si="214"/>
        <v>130</v>
      </c>
      <c r="AC241" s="1"/>
      <c r="AD241" s="65">
        <f t="shared" si="215"/>
        <v>1656</v>
      </c>
      <c r="AE241" s="1"/>
      <c r="AF241" s="1">
        <f t="shared" si="216"/>
        <v>30</v>
      </c>
      <c r="AG241" s="1">
        <f>IF(AH241&gt;0,AH129:AH261,0)</f>
        <v>1626</v>
      </c>
      <c r="AH241" s="1">
        <f t="shared" si="227"/>
        <v>1626</v>
      </c>
      <c r="AJ241">
        <f t="shared" si="228"/>
        <v>0</v>
      </c>
      <c r="AK241">
        <f t="shared" si="229"/>
        <v>0</v>
      </c>
      <c r="AL241">
        <f t="shared" si="230"/>
        <v>0</v>
      </c>
      <c r="AM241">
        <f t="shared" si="231"/>
        <v>0</v>
      </c>
      <c r="AO241">
        <f t="shared" si="232"/>
        <v>0</v>
      </c>
      <c r="AP241">
        <f t="shared" si="233"/>
        <v>0</v>
      </c>
      <c r="AQ241">
        <f t="shared" si="234"/>
        <v>0</v>
      </c>
      <c r="AR241">
        <f t="shared" si="235"/>
        <v>0</v>
      </c>
    </row>
    <row r="242" spans="2:44" x14ac:dyDescent="0.25">
      <c r="F242">
        <f t="shared" si="226"/>
        <v>0</v>
      </c>
      <c r="G242">
        <f t="shared" si="207"/>
        <v>1</v>
      </c>
      <c r="I242" s="121">
        <v>0</v>
      </c>
      <c r="L242" t="s">
        <v>55</v>
      </c>
      <c r="N242" s="4" t="s">
        <v>36</v>
      </c>
      <c r="P242" s="86">
        <v>0</v>
      </c>
      <c r="Q242" s="1">
        <f t="shared" si="208"/>
        <v>0</v>
      </c>
      <c r="R242">
        <f t="shared" si="209"/>
        <v>0</v>
      </c>
      <c r="S242" s="168"/>
      <c r="T242" s="61"/>
      <c r="U242" s="61">
        <f t="shared" si="236"/>
        <v>0</v>
      </c>
      <c r="V242" s="7" t="str">
        <f t="shared" si="211"/>
        <v>NONE</v>
      </c>
      <c r="W242" s="56"/>
      <c r="X242" s="5"/>
      <c r="Y242" s="61">
        <f t="shared" si="212"/>
        <v>0</v>
      </c>
      <c r="Z242" s="61"/>
      <c r="AA242" s="1">
        <f>IF(X242=$AA$1,R242-500,0)</f>
        <v>0</v>
      </c>
      <c r="AB242" s="1">
        <f t="shared" si="214"/>
        <v>0</v>
      </c>
      <c r="AC242" s="1"/>
      <c r="AD242" s="65">
        <f t="shared" si="215"/>
        <v>0</v>
      </c>
      <c r="AE242" s="1"/>
      <c r="AF242" s="1">
        <f t="shared" si="216"/>
        <v>0</v>
      </c>
      <c r="AG242" s="1">
        <f>IF(AH242&gt;0,AH123:AH242,0)</f>
        <v>0</v>
      </c>
      <c r="AH242" s="1">
        <f t="shared" si="227"/>
        <v>0</v>
      </c>
      <c r="AJ242">
        <f t="shared" si="228"/>
        <v>0</v>
      </c>
      <c r="AK242">
        <f t="shared" si="229"/>
        <v>0</v>
      </c>
      <c r="AL242">
        <f t="shared" si="230"/>
        <v>0</v>
      </c>
      <c r="AM242">
        <f t="shared" si="231"/>
        <v>0</v>
      </c>
      <c r="AO242">
        <f t="shared" si="232"/>
        <v>0</v>
      </c>
      <c r="AP242">
        <f t="shared" si="233"/>
        <v>0</v>
      </c>
      <c r="AQ242">
        <f t="shared" si="234"/>
        <v>0</v>
      </c>
      <c r="AR242">
        <f t="shared" si="235"/>
        <v>0</v>
      </c>
    </row>
    <row r="243" spans="2:44" x14ac:dyDescent="0.25">
      <c r="B243" s="82" t="s">
        <v>82</v>
      </c>
      <c r="C243" s="8" t="s">
        <v>42</v>
      </c>
      <c r="D243" s="8"/>
      <c r="E243" t="s">
        <v>42</v>
      </c>
      <c r="F243">
        <f t="shared" si="226"/>
        <v>3</v>
      </c>
      <c r="G243">
        <f t="shared" si="207"/>
        <v>0</v>
      </c>
      <c r="H243" s="83" t="s">
        <v>910</v>
      </c>
      <c r="I243" s="121">
        <v>3</v>
      </c>
      <c r="K243" t="s">
        <v>63</v>
      </c>
      <c r="L243" t="s">
        <v>55</v>
      </c>
      <c r="N243" s="4" t="s">
        <v>36</v>
      </c>
      <c r="P243" s="86">
        <v>0</v>
      </c>
      <c r="Q243" s="1">
        <f t="shared" si="208"/>
        <v>0</v>
      </c>
      <c r="R243">
        <f>IF(P243&gt;0,((P243+500)-Q243)+U243,0)</f>
        <v>0</v>
      </c>
      <c r="S243" s="168"/>
      <c r="T243" s="61"/>
      <c r="U243" s="61">
        <f t="shared" si="236"/>
        <v>0</v>
      </c>
      <c r="V243" s="7" t="str">
        <f t="shared" si="211"/>
        <v>NONE</v>
      </c>
      <c r="W243" s="56"/>
      <c r="X243" s="5"/>
      <c r="Y243" s="61">
        <f t="shared" si="212"/>
        <v>0</v>
      </c>
      <c r="Z243" s="61"/>
      <c r="AA243" s="1">
        <f t="shared" si="213"/>
        <v>0</v>
      </c>
      <c r="AB243" s="1">
        <f t="shared" si="214"/>
        <v>130</v>
      </c>
      <c r="AC243" s="1"/>
      <c r="AD243" s="65">
        <f t="shared" si="215"/>
        <v>-130</v>
      </c>
      <c r="AE243" s="1"/>
      <c r="AF243" s="1">
        <f t="shared" si="216"/>
        <v>0</v>
      </c>
      <c r="AG243" s="1">
        <f>IF(AH243&gt;0,AH126:AH243,0)</f>
        <v>0</v>
      </c>
      <c r="AH243" s="1">
        <f t="shared" si="227"/>
        <v>-130</v>
      </c>
      <c r="AJ243">
        <f t="shared" si="228"/>
        <v>0</v>
      </c>
      <c r="AK243">
        <f t="shared" si="229"/>
        <v>0</v>
      </c>
      <c r="AL243">
        <f t="shared" si="230"/>
        <v>0</v>
      </c>
      <c r="AM243">
        <f t="shared" si="231"/>
        <v>0</v>
      </c>
      <c r="AO243">
        <f t="shared" si="232"/>
        <v>0</v>
      </c>
      <c r="AP243">
        <f t="shared" si="233"/>
        <v>0</v>
      </c>
      <c r="AQ243">
        <f t="shared" si="234"/>
        <v>0</v>
      </c>
      <c r="AR243">
        <f t="shared" si="235"/>
        <v>0</v>
      </c>
    </row>
    <row r="244" spans="2:44" x14ac:dyDescent="0.25">
      <c r="B244" s="8" t="s">
        <v>893</v>
      </c>
      <c r="I244" s="121"/>
      <c r="L244" t="s">
        <v>55</v>
      </c>
      <c r="N244" s="4" t="s">
        <v>36</v>
      </c>
      <c r="P244" s="86">
        <v>0</v>
      </c>
      <c r="Q244" s="1">
        <f t="shared" si="208"/>
        <v>0</v>
      </c>
      <c r="R244">
        <f t="shared" ref="R244:R251" si="237">IF(P244&gt;0,((P244+500)-Q244)+U244,0)</f>
        <v>0</v>
      </c>
      <c r="S244" s="168"/>
      <c r="T244" s="61"/>
      <c r="U244" s="61">
        <f t="shared" si="236"/>
        <v>0</v>
      </c>
      <c r="V244" s="7" t="str">
        <f t="shared" si="211"/>
        <v>NONE</v>
      </c>
      <c r="W244" s="56"/>
      <c r="X244" s="87"/>
      <c r="Y244" s="61">
        <f t="shared" si="212"/>
        <v>0</v>
      </c>
      <c r="Z244" s="61"/>
      <c r="AA244" s="1">
        <f t="shared" si="213"/>
        <v>0</v>
      </c>
      <c r="AB244" s="1">
        <f t="shared" si="214"/>
        <v>0</v>
      </c>
      <c r="AC244" s="1"/>
      <c r="AD244" s="65">
        <f t="shared" si="215"/>
        <v>0</v>
      </c>
      <c r="AE244" s="1"/>
      <c r="AF244" s="1">
        <f t="shared" si="216"/>
        <v>0</v>
      </c>
      <c r="AG244" s="1">
        <f>IF(AH244&gt;0,AH126:AH257,0)</f>
        <v>0</v>
      </c>
      <c r="AH244" s="1">
        <f t="shared" si="227"/>
        <v>0</v>
      </c>
      <c r="AJ244">
        <f t="shared" si="228"/>
        <v>0</v>
      </c>
      <c r="AK244">
        <f t="shared" si="229"/>
        <v>0</v>
      </c>
      <c r="AL244">
        <f t="shared" si="230"/>
        <v>0</v>
      </c>
      <c r="AM244">
        <f t="shared" si="231"/>
        <v>0</v>
      </c>
      <c r="AO244">
        <f t="shared" si="232"/>
        <v>0</v>
      </c>
      <c r="AP244">
        <f t="shared" si="233"/>
        <v>0</v>
      </c>
      <c r="AQ244">
        <f t="shared" si="234"/>
        <v>0</v>
      </c>
      <c r="AR244">
        <f t="shared" si="235"/>
        <v>0</v>
      </c>
    </row>
    <row r="245" spans="2:44" x14ac:dyDescent="0.25">
      <c r="B245" t="s">
        <v>919</v>
      </c>
      <c r="C245" t="s">
        <v>920</v>
      </c>
      <c r="E245" t="s">
        <v>885</v>
      </c>
      <c r="F245">
        <f>IF(E245=$B$12,I245,0)</f>
        <v>0</v>
      </c>
      <c r="G245">
        <f>IF(F245&gt;0,0,1)</f>
        <v>1</v>
      </c>
      <c r="H245" t="s">
        <v>921</v>
      </c>
      <c r="I245" s="121">
        <v>5</v>
      </c>
      <c r="K245" t="s">
        <v>922</v>
      </c>
      <c r="L245" t="s">
        <v>55</v>
      </c>
      <c r="N245" s="4" t="s">
        <v>36</v>
      </c>
      <c r="P245" s="86">
        <v>1427</v>
      </c>
      <c r="Q245" s="1">
        <f>ROUND((P245*0.4),0)</f>
        <v>571</v>
      </c>
      <c r="R245">
        <f>IF(P245&gt;0,((P245+500)-Q245)+U245,0)</f>
        <v>1356</v>
      </c>
      <c r="S245" s="168" t="s">
        <v>156</v>
      </c>
      <c r="T245" s="61"/>
      <c r="U245" s="61">
        <f t="shared" si="236"/>
        <v>0</v>
      </c>
      <c r="V245" s="7" t="str">
        <f>IF(W245=1,$AE$2,IF(W245=2,$AE$1,IF(AND(W245&lt;&gt;1,W245&lt;&gt;20)=TRUE,$AE$3)))</f>
        <v>NONE</v>
      </c>
      <c r="W245" s="56"/>
      <c r="X245" s="5" t="s">
        <v>933</v>
      </c>
      <c r="Y245" s="61">
        <f>R245+Q245</f>
        <v>1927</v>
      </c>
      <c r="Z245" s="61"/>
      <c r="AA245" s="1">
        <f>IF(X245=$AA$1,R245-500,0)</f>
        <v>0</v>
      </c>
      <c r="AB245" s="1">
        <f>IF(I245&gt;0,130,0)</f>
        <v>130</v>
      </c>
      <c r="AC245" s="1"/>
      <c r="AD245" s="65">
        <f>(P245+U245)-AB245</f>
        <v>1297</v>
      </c>
      <c r="AE245" s="1"/>
      <c r="AF245" s="1">
        <f>IF(I245&gt;0,30*G245,0)</f>
        <v>30</v>
      </c>
      <c r="AG245" s="1">
        <f>IF(AH245&gt;0,AH126:AH245,0)</f>
        <v>1267</v>
      </c>
      <c r="AH245" s="1">
        <f>AD245-AF245</f>
        <v>1267</v>
      </c>
      <c r="AJ245">
        <f>IF(T245=1,P245-U245,0)</f>
        <v>0</v>
      </c>
      <c r="AK245">
        <f>IF(T245=2,P245-U245,0)</f>
        <v>0</v>
      </c>
      <c r="AL245">
        <f>IF(T245=3,P245-U245,0)</f>
        <v>0</v>
      </c>
      <c r="AM245">
        <f>IF(T245=4,P245-U245,0)</f>
        <v>0</v>
      </c>
      <c r="AO245">
        <f>IF(T245=1,P245-U245,0)</f>
        <v>0</v>
      </c>
      <c r="AP245">
        <f>IF(T245=2,P245-U245,0)</f>
        <v>0</v>
      </c>
      <c r="AQ245">
        <f>IF(T245=3,P245-U245,0)</f>
        <v>0</v>
      </c>
      <c r="AR245">
        <f>IF(T245=4,P245-U245,0)</f>
        <v>0</v>
      </c>
    </row>
    <row r="246" spans="2:44" x14ac:dyDescent="0.25">
      <c r="B246" t="s">
        <v>894</v>
      </c>
      <c r="C246" t="s">
        <v>205</v>
      </c>
      <c r="E246" t="s">
        <v>370</v>
      </c>
      <c r="F246">
        <f>IF(E246=$B$12,I246,0)</f>
        <v>0</v>
      </c>
      <c r="G246">
        <f>IF(F246&gt;0,0,1)</f>
        <v>1</v>
      </c>
      <c r="H246" t="s">
        <v>895</v>
      </c>
      <c r="I246" s="121">
        <v>7</v>
      </c>
      <c r="K246" t="s">
        <v>857</v>
      </c>
      <c r="L246" t="s">
        <v>55</v>
      </c>
      <c r="M246" s="51"/>
      <c r="N246" s="4" t="s">
        <v>36</v>
      </c>
      <c r="P246" s="86">
        <v>1515</v>
      </c>
      <c r="Q246" s="1">
        <v>673</v>
      </c>
      <c r="R246">
        <f>IF(P246&gt;0,((P246+500)-Q246)+U246,0)</f>
        <v>1342</v>
      </c>
      <c r="S246" s="168" t="s">
        <v>896</v>
      </c>
      <c r="T246" s="61"/>
      <c r="U246" s="61">
        <f t="shared" si="236"/>
        <v>0</v>
      </c>
      <c r="V246" s="7" t="str">
        <f>IF(W246=1,$AE$2,IF(W246=2,$AE$1,IF(AND(W246&lt;&gt;1,W246&lt;&gt;20)=TRUE,$AE$3)))</f>
        <v>NONE</v>
      </c>
      <c r="W246" s="56"/>
      <c r="X246" s="5" t="s">
        <v>721</v>
      </c>
      <c r="Y246" s="61">
        <f>R246+Q246</f>
        <v>2015</v>
      </c>
      <c r="Z246" s="61"/>
      <c r="AA246" s="1">
        <f>IF(X246=$AA$1,R246-500,0)</f>
        <v>0</v>
      </c>
      <c r="AB246" s="1">
        <f>IF(I246&gt;0,130,0)</f>
        <v>130</v>
      </c>
      <c r="AC246" s="1"/>
      <c r="AD246" s="65">
        <f>(P246+U246)-AB246</f>
        <v>1385</v>
      </c>
      <c r="AE246" s="1"/>
      <c r="AF246" s="1">
        <f>IF(I246&gt;0,30*G246,0)</f>
        <v>30</v>
      </c>
      <c r="AG246" s="1">
        <f>IF(AH246&gt;0,AH130:AH246,0)</f>
        <v>1355</v>
      </c>
      <c r="AH246" s="1">
        <f>AD246-AF246</f>
        <v>1355</v>
      </c>
      <c r="AJ246">
        <f>IF(T246=1,P246-U246,0)</f>
        <v>0</v>
      </c>
      <c r="AK246">
        <f>IF(T246=2,P246-U246,0)</f>
        <v>0</v>
      </c>
      <c r="AL246">
        <f>IF(T246=3,P246-U246,0)</f>
        <v>0</v>
      </c>
      <c r="AM246">
        <f>IF(T246=4,P246-U246,0)</f>
        <v>0</v>
      </c>
      <c r="AO246">
        <f>IF(T246=1,P246-U246,0)</f>
        <v>0</v>
      </c>
      <c r="AP246">
        <f>IF(T246=2,P246-U246,0)</f>
        <v>0</v>
      </c>
      <c r="AQ246">
        <f>IF(T246=3,P246-U246,0)</f>
        <v>0</v>
      </c>
      <c r="AR246">
        <f>IF(T246=4,P246-U246,0)</f>
        <v>0</v>
      </c>
    </row>
    <row r="247" spans="2:44" x14ac:dyDescent="0.25">
      <c r="B247" s="8" t="s">
        <v>925</v>
      </c>
      <c r="C247" t="s">
        <v>927</v>
      </c>
      <c r="E247" t="s">
        <v>822</v>
      </c>
      <c r="F247">
        <f>IF(E247=$B$12,I247,0)</f>
        <v>0</v>
      </c>
      <c r="G247">
        <f>IF(F247&gt;0,0,1)</f>
        <v>1</v>
      </c>
      <c r="H247" t="s">
        <v>926</v>
      </c>
      <c r="I247" s="121">
        <v>4</v>
      </c>
      <c r="K247" t="s">
        <v>74</v>
      </c>
      <c r="L247" t="s">
        <v>55</v>
      </c>
      <c r="M247" s="51"/>
      <c r="N247" s="4" t="s">
        <v>36</v>
      </c>
      <c r="P247" s="86">
        <v>989</v>
      </c>
      <c r="Q247" s="1">
        <f>ROUND((P247*0.4),0)</f>
        <v>396</v>
      </c>
      <c r="R247">
        <f>IF(P247&gt;0,((P247+500)-Q247)+U247,0)</f>
        <v>1093</v>
      </c>
      <c r="S247" s="168"/>
      <c r="T247" s="61"/>
      <c r="U247" s="61">
        <f t="shared" si="236"/>
        <v>0</v>
      </c>
      <c r="V247" s="7" t="str">
        <f>IF(W247=1,$AE$2,IF(W247=2,$AE$1,IF(AND(W247&lt;&gt;1,W247&lt;&gt;20)=TRUE,$AE$3)))</f>
        <v>NONE</v>
      </c>
      <c r="W247" s="56"/>
      <c r="X247" s="5" t="s">
        <v>928</v>
      </c>
      <c r="Y247" s="61">
        <f>R247+Q247</f>
        <v>1489</v>
      </c>
      <c r="Z247" s="61"/>
      <c r="AA247" s="1">
        <f>IF(X247=$AA$1,R247-500,0)</f>
        <v>0</v>
      </c>
      <c r="AB247" s="1">
        <f>IF(I247&gt;0,130,0)</f>
        <v>130</v>
      </c>
      <c r="AC247" s="1"/>
      <c r="AD247" s="65">
        <f>(P247+U247)-AB247</f>
        <v>859</v>
      </c>
      <c r="AE247" s="1"/>
      <c r="AF247" s="1">
        <f>IF(I247&gt;0,30*G247,0)</f>
        <v>30</v>
      </c>
      <c r="AG247" s="1">
        <f>IF(AH247&gt;0,AH130:AH247,0)</f>
        <v>829</v>
      </c>
      <c r="AH247" s="1">
        <f>AD247-AF247</f>
        <v>829</v>
      </c>
      <c r="AJ247">
        <f>IF(T247=1,P247-U247,0)</f>
        <v>0</v>
      </c>
      <c r="AK247">
        <f>IF(T247=2,P247-U247,0)</f>
        <v>0</v>
      </c>
      <c r="AL247">
        <f>IF(T247=3,P247-U247,0)</f>
        <v>0</v>
      </c>
      <c r="AM247">
        <f>IF(T247=4,P247-U247,0)</f>
        <v>0</v>
      </c>
      <c r="AO247">
        <f>IF(T247=1,P247-U247,0)</f>
        <v>0</v>
      </c>
      <c r="AP247">
        <f>IF(T247=2,P247-U247,0)</f>
        <v>0</v>
      </c>
      <c r="AQ247">
        <f>IF(T247=3,P247-U247,0)</f>
        <v>0</v>
      </c>
      <c r="AR247">
        <f>IF(T247=4,P247-U247,0)</f>
        <v>0</v>
      </c>
    </row>
    <row r="248" spans="2:44" x14ac:dyDescent="0.25">
      <c r="B248" s="82" t="s">
        <v>82</v>
      </c>
      <c r="C248" s="8" t="s">
        <v>42</v>
      </c>
      <c r="D248" s="8"/>
      <c r="E248" t="s">
        <v>42</v>
      </c>
      <c r="F248">
        <f t="shared" si="226"/>
        <v>28</v>
      </c>
      <c r="G248">
        <f t="shared" si="207"/>
        <v>0</v>
      </c>
      <c r="H248" s="83" t="s">
        <v>798</v>
      </c>
      <c r="I248" s="121">
        <v>28</v>
      </c>
      <c r="K248" t="s">
        <v>63</v>
      </c>
      <c r="L248" t="s">
        <v>55</v>
      </c>
      <c r="N248" s="4" t="s">
        <v>36</v>
      </c>
      <c r="P248" s="86">
        <v>0</v>
      </c>
      <c r="Q248" s="1">
        <f t="shared" si="208"/>
        <v>0</v>
      </c>
      <c r="R248">
        <f t="shared" si="237"/>
        <v>0</v>
      </c>
      <c r="S248" s="168"/>
      <c r="T248" s="61"/>
      <c r="U248" s="61">
        <f t="shared" ref="U248:U256" si="238">IF(V248=$AE$2,47,IF(V248=$AE$1,ROUND(((P248+500)*0.039),0),IF(V248=$AE$3,0)))</f>
        <v>0</v>
      </c>
      <c r="V248" s="7" t="str">
        <f t="shared" si="211"/>
        <v>NONE</v>
      </c>
      <c r="W248" s="56"/>
      <c r="X248" s="5"/>
      <c r="Y248" s="61">
        <f t="shared" si="212"/>
        <v>0</v>
      </c>
      <c r="Z248" s="61"/>
      <c r="AA248" s="1">
        <f t="shared" si="213"/>
        <v>0</v>
      </c>
      <c r="AB248" s="1">
        <f t="shared" si="214"/>
        <v>130</v>
      </c>
      <c r="AC248" s="1"/>
      <c r="AD248" s="65">
        <f t="shared" si="215"/>
        <v>-130</v>
      </c>
      <c r="AE248" s="1"/>
      <c r="AF248" s="1">
        <f t="shared" si="216"/>
        <v>0</v>
      </c>
      <c r="AG248" s="1">
        <f>IF(AH248&gt;0,AH131:AH248,0)</f>
        <v>0</v>
      </c>
      <c r="AH248" s="1">
        <f t="shared" si="227"/>
        <v>-130</v>
      </c>
      <c r="AJ248">
        <f t="shared" si="228"/>
        <v>0</v>
      </c>
      <c r="AK248">
        <f t="shared" si="229"/>
        <v>0</v>
      </c>
      <c r="AL248">
        <f t="shared" si="230"/>
        <v>0</v>
      </c>
      <c r="AM248">
        <f t="shared" si="231"/>
        <v>0</v>
      </c>
      <c r="AO248">
        <f t="shared" si="232"/>
        <v>0</v>
      </c>
      <c r="AP248">
        <f t="shared" si="233"/>
        <v>0</v>
      </c>
      <c r="AQ248">
        <f t="shared" si="234"/>
        <v>0</v>
      </c>
      <c r="AR248">
        <f t="shared" si="235"/>
        <v>0</v>
      </c>
    </row>
    <row r="249" spans="2:44" x14ac:dyDescent="0.25">
      <c r="B249" s="8"/>
      <c r="C249" s="8"/>
      <c r="D249" s="8"/>
      <c r="F249">
        <f>IF(E249=$B$12,I249,0)</f>
        <v>0</v>
      </c>
      <c r="G249">
        <f>IF(F249&gt;0,0,1)</f>
        <v>1</v>
      </c>
      <c r="I249" s="121">
        <v>0</v>
      </c>
      <c r="L249" t="s">
        <v>55</v>
      </c>
      <c r="M249" s="51"/>
      <c r="N249" s="4" t="s">
        <v>36</v>
      </c>
      <c r="P249" s="86">
        <v>0</v>
      </c>
      <c r="Q249" s="1">
        <f>ROUND((P249*0.4),0)</f>
        <v>0</v>
      </c>
      <c r="R249">
        <f>IF(P249&gt;0,((P249+500)-Q249)+U249,0)</f>
        <v>0</v>
      </c>
      <c r="S249" s="168"/>
      <c r="T249" s="61"/>
      <c r="U249" s="61">
        <f>IF(V249=$AE$2,47,IF(V249=$AE$1,ROUND(((P249+500)*0.039),0),IF(V249=$AE$3,0)))</f>
        <v>0</v>
      </c>
      <c r="V249" s="7" t="str">
        <f>IF(W249=1,$AE$2,IF(W249=2,$AE$1,IF(AND(W249&lt;&gt;1,W249&lt;&gt;20)=TRUE,$AE$3)))</f>
        <v>NONE</v>
      </c>
      <c r="W249" s="56"/>
      <c r="X249" s="5"/>
      <c r="Y249" s="61">
        <f>R249+Q249</f>
        <v>0</v>
      </c>
      <c r="Z249" s="61"/>
      <c r="AA249" s="1">
        <f>IF(X249=$AA$1,R249-500,0)</f>
        <v>0</v>
      </c>
      <c r="AB249" s="1">
        <f>IF(I249&gt;0,130,0)</f>
        <v>0</v>
      </c>
      <c r="AC249" s="1"/>
      <c r="AD249" s="65">
        <f>(P249+U249)-AB249</f>
        <v>0</v>
      </c>
      <c r="AE249" s="1"/>
      <c r="AF249" s="1">
        <f>IF(I249&gt;0,30*G249,0)</f>
        <v>0</v>
      </c>
      <c r="AG249" s="1">
        <f>IF(AH249&gt;0,AH132:AH249,0)</f>
        <v>0</v>
      </c>
      <c r="AH249" s="1">
        <f>AD249-AF249</f>
        <v>0</v>
      </c>
      <c r="AJ249">
        <f>IF(T249=1,P249-U249,0)</f>
        <v>0</v>
      </c>
      <c r="AK249">
        <f>IF(T249=2,P249-U249,0)</f>
        <v>0</v>
      </c>
      <c r="AL249">
        <f>IF(T249=3,P249-U249,0)</f>
        <v>0</v>
      </c>
      <c r="AM249">
        <f>IF(T249=4,P249-U249,0)</f>
        <v>0</v>
      </c>
      <c r="AO249">
        <f>IF(T249=1,P249-U249,0)</f>
        <v>0</v>
      </c>
      <c r="AP249">
        <f>IF(T249=2,P249-U249,0)</f>
        <v>0</v>
      </c>
      <c r="AQ249">
        <f>IF(T249=3,P249-U249,0)</f>
        <v>0</v>
      </c>
      <c r="AR249">
        <f>IF(T249=4,P249-U249,0)</f>
        <v>0</v>
      </c>
    </row>
    <row r="250" spans="2:44" x14ac:dyDescent="0.25">
      <c r="F250">
        <f t="shared" si="226"/>
        <v>0</v>
      </c>
      <c r="G250">
        <f t="shared" si="207"/>
        <v>1</v>
      </c>
      <c r="I250" s="121"/>
      <c r="L250" t="s">
        <v>55</v>
      </c>
      <c r="M250" s="51"/>
      <c r="N250" s="4" t="s">
        <v>36</v>
      </c>
      <c r="P250" s="86">
        <v>0</v>
      </c>
      <c r="Q250" s="1">
        <v>673</v>
      </c>
      <c r="R250">
        <f t="shared" si="237"/>
        <v>0</v>
      </c>
      <c r="S250" s="168"/>
      <c r="T250" s="61"/>
      <c r="U250" s="61">
        <f t="shared" si="238"/>
        <v>0</v>
      </c>
      <c r="V250" s="7" t="str">
        <f t="shared" si="211"/>
        <v>NONE</v>
      </c>
      <c r="W250" s="56"/>
      <c r="X250" s="5"/>
      <c r="Y250" s="61">
        <f t="shared" si="212"/>
        <v>673</v>
      </c>
      <c r="Z250" s="61"/>
      <c r="AA250" s="1">
        <f t="shared" si="213"/>
        <v>0</v>
      </c>
      <c r="AB250" s="1">
        <f t="shared" si="214"/>
        <v>0</v>
      </c>
      <c r="AC250" s="1"/>
      <c r="AD250" s="65">
        <f t="shared" si="215"/>
        <v>0</v>
      </c>
      <c r="AE250" s="1"/>
      <c r="AF250" s="1">
        <f t="shared" si="216"/>
        <v>0</v>
      </c>
      <c r="AG250" s="1">
        <f>IF(AH250&gt;0,AH133:AH250,0)</f>
        <v>0</v>
      </c>
      <c r="AH250" s="1">
        <f t="shared" si="227"/>
        <v>0</v>
      </c>
      <c r="AJ250">
        <f t="shared" si="228"/>
        <v>0</v>
      </c>
      <c r="AK250">
        <f t="shared" si="229"/>
        <v>0</v>
      </c>
      <c r="AL250">
        <f t="shared" si="230"/>
        <v>0</v>
      </c>
      <c r="AM250">
        <f t="shared" si="231"/>
        <v>0</v>
      </c>
      <c r="AO250">
        <f t="shared" si="232"/>
        <v>0</v>
      </c>
      <c r="AP250">
        <f t="shared" si="233"/>
        <v>0</v>
      </c>
      <c r="AQ250">
        <f t="shared" si="234"/>
        <v>0</v>
      </c>
      <c r="AR250">
        <f t="shared" si="235"/>
        <v>0</v>
      </c>
    </row>
    <row r="251" spans="2:44" ht="15.75" x14ac:dyDescent="0.25">
      <c r="B251" s="171"/>
      <c r="F251">
        <f t="shared" si="226"/>
        <v>0</v>
      </c>
      <c r="G251">
        <f t="shared" si="207"/>
        <v>1</v>
      </c>
      <c r="I251" s="121">
        <v>0</v>
      </c>
      <c r="L251" t="s">
        <v>55</v>
      </c>
      <c r="N251" s="4" t="s">
        <v>36</v>
      </c>
      <c r="P251" s="86">
        <v>0</v>
      </c>
      <c r="Q251" s="1">
        <f t="shared" si="208"/>
        <v>0</v>
      </c>
      <c r="R251">
        <f t="shared" si="237"/>
        <v>0</v>
      </c>
      <c r="S251" s="168"/>
      <c r="T251" s="61"/>
      <c r="U251" s="61">
        <f t="shared" si="238"/>
        <v>0</v>
      </c>
      <c r="V251" s="7" t="str">
        <f t="shared" si="211"/>
        <v>NONE</v>
      </c>
      <c r="W251" s="56"/>
      <c r="X251" s="5"/>
      <c r="Y251" s="61">
        <f t="shared" si="212"/>
        <v>0</v>
      </c>
      <c r="Z251" s="61"/>
      <c r="AA251" s="1">
        <f>IF(X251=$AA$1,R251-500,0)</f>
        <v>0</v>
      </c>
      <c r="AB251" s="1">
        <f t="shared" si="214"/>
        <v>0</v>
      </c>
      <c r="AC251" s="1"/>
      <c r="AD251" s="65">
        <f t="shared" si="215"/>
        <v>0</v>
      </c>
      <c r="AE251" s="1"/>
      <c r="AF251" s="1">
        <f t="shared" si="216"/>
        <v>0</v>
      </c>
      <c r="AG251" s="1">
        <f>IF(AH251&gt;0,AH129:AH251,0)</f>
        <v>0</v>
      </c>
      <c r="AH251" s="1">
        <f t="shared" si="227"/>
        <v>0</v>
      </c>
      <c r="AJ251">
        <f t="shared" si="228"/>
        <v>0</v>
      </c>
      <c r="AK251">
        <f t="shared" si="229"/>
        <v>0</v>
      </c>
      <c r="AL251">
        <f t="shared" si="230"/>
        <v>0</v>
      </c>
      <c r="AM251">
        <f t="shared" si="231"/>
        <v>0</v>
      </c>
      <c r="AO251">
        <f t="shared" si="232"/>
        <v>0</v>
      </c>
      <c r="AP251">
        <f t="shared" si="233"/>
        <v>0</v>
      </c>
      <c r="AQ251">
        <f t="shared" si="234"/>
        <v>0</v>
      </c>
      <c r="AR251">
        <f t="shared" si="235"/>
        <v>0</v>
      </c>
    </row>
    <row r="252" spans="2:44" x14ac:dyDescent="0.25">
      <c r="B252" t="s">
        <v>767</v>
      </c>
      <c r="C252" t="s">
        <v>765</v>
      </c>
      <c r="E252" t="s">
        <v>61</v>
      </c>
      <c r="F252">
        <f t="shared" si="226"/>
        <v>0</v>
      </c>
      <c r="G252">
        <f t="shared" si="207"/>
        <v>1</v>
      </c>
      <c r="H252" t="s">
        <v>795</v>
      </c>
      <c r="I252" s="121">
        <v>10</v>
      </c>
      <c r="K252" t="s">
        <v>63</v>
      </c>
      <c r="L252" t="s">
        <v>55</v>
      </c>
      <c r="N252" s="4" t="s">
        <v>36</v>
      </c>
      <c r="P252" s="86">
        <v>1956</v>
      </c>
      <c r="Q252" s="1">
        <v>500</v>
      </c>
      <c r="R252">
        <f>IF(P252&gt;0,((P252+500)-Q252)+U252,0)</f>
        <v>1956</v>
      </c>
      <c r="S252" s="168" t="s">
        <v>805</v>
      </c>
      <c r="T252" s="61"/>
      <c r="U252" s="61">
        <f t="shared" si="238"/>
        <v>0</v>
      </c>
      <c r="V252" s="7" t="str">
        <f t="shared" si="211"/>
        <v>NONE</v>
      </c>
      <c r="W252" s="56"/>
      <c r="X252" s="5" t="s">
        <v>924</v>
      </c>
      <c r="Y252" s="61">
        <f t="shared" si="212"/>
        <v>2456</v>
      </c>
      <c r="Z252" s="61"/>
      <c r="AA252" s="1">
        <f>IF(X252=$AA$1,R252-500,0)</f>
        <v>0</v>
      </c>
      <c r="AB252" s="1">
        <f t="shared" si="214"/>
        <v>130</v>
      </c>
      <c r="AC252" s="1"/>
      <c r="AD252" s="65">
        <f t="shared" si="215"/>
        <v>1826</v>
      </c>
      <c r="AE252" s="1"/>
      <c r="AF252" s="1">
        <f t="shared" si="216"/>
        <v>30</v>
      </c>
      <c r="AG252" s="1">
        <f>IF(AH252&gt;0,AH131:AH252,0)</f>
        <v>1796</v>
      </c>
      <c r="AH252" s="1">
        <f t="shared" si="227"/>
        <v>1796</v>
      </c>
      <c r="AJ252">
        <f t="shared" si="228"/>
        <v>0</v>
      </c>
      <c r="AK252">
        <f t="shared" si="229"/>
        <v>0</v>
      </c>
      <c r="AL252">
        <f t="shared" si="230"/>
        <v>0</v>
      </c>
      <c r="AM252">
        <f t="shared" si="231"/>
        <v>0</v>
      </c>
      <c r="AO252">
        <f t="shared" si="232"/>
        <v>0</v>
      </c>
      <c r="AP252">
        <f t="shared" si="233"/>
        <v>0</v>
      </c>
      <c r="AQ252">
        <f t="shared" si="234"/>
        <v>0</v>
      </c>
      <c r="AR252">
        <f t="shared" si="235"/>
        <v>0</v>
      </c>
    </row>
    <row r="253" spans="2:44" x14ac:dyDescent="0.25">
      <c r="B253" s="8" t="s">
        <v>828</v>
      </c>
      <c r="C253" t="s">
        <v>768</v>
      </c>
      <c r="E253" t="s">
        <v>616</v>
      </c>
      <c r="F253">
        <f t="shared" si="226"/>
        <v>0</v>
      </c>
      <c r="G253">
        <f t="shared" si="207"/>
        <v>1</v>
      </c>
      <c r="H253" t="s">
        <v>827</v>
      </c>
      <c r="I253" s="121">
        <v>0</v>
      </c>
      <c r="K253" t="s">
        <v>98</v>
      </c>
      <c r="L253" t="s">
        <v>55</v>
      </c>
      <c r="N253" s="4" t="s">
        <v>36</v>
      </c>
      <c r="P253" s="86">
        <v>1793</v>
      </c>
      <c r="Q253" s="1">
        <f>ROUND((P253*0.4),0)</f>
        <v>717</v>
      </c>
      <c r="R253">
        <f>IF(P253&gt;0,((P253+500)-Q253)+U253,0)</f>
        <v>1665</v>
      </c>
      <c r="S253" s="168" t="s">
        <v>769</v>
      </c>
      <c r="T253" s="61"/>
      <c r="U253" s="61">
        <f>IF(V253=$AE$2,47,IF(V253=$AE$1,ROUND(((P253+500)*0.039),0),IF(V253=$AE$3,0)))</f>
        <v>89</v>
      </c>
      <c r="V253" s="7" t="str">
        <f t="shared" si="211"/>
        <v>PAYPAL</v>
      </c>
      <c r="W253" s="56">
        <v>2</v>
      </c>
      <c r="X253" s="5" t="s">
        <v>25</v>
      </c>
      <c r="Y253" s="61">
        <f t="shared" si="212"/>
        <v>2382</v>
      </c>
      <c r="Z253" s="61"/>
      <c r="AA253" s="1">
        <f>IF(X253=$AA$1,R253-500,0)</f>
        <v>0</v>
      </c>
      <c r="AB253" s="1">
        <f t="shared" si="214"/>
        <v>0</v>
      </c>
      <c r="AC253" s="1"/>
      <c r="AD253" s="65">
        <f>(P253+U253)-AB253</f>
        <v>1882</v>
      </c>
      <c r="AE253" s="1"/>
      <c r="AF253" s="1">
        <f t="shared" si="216"/>
        <v>0</v>
      </c>
      <c r="AG253" s="1">
        <f>IF(AH253&gt;0,AH131:AH262,0)</f>
        <v>1882</v>
      </c>
      <c r="AH253" s="1">
        <f t="shared" si="227"/>
        <v>1882</v>
      </c>
      <c r="AJ253">
        <f>IF(T253=1,P253-U253,0)</f>
        <v>0</v>
      </c>
      <c r="AK253">
        <f>IF(T253=2,P253-U253,0)</f>
        <v>0</v>
      </c>
      <c r="AL253">
        <f>IF(T253=3,P253-U253,0)</f>
        <v>0</v>
      </c>
      <c r="AM253">
        <f>IF(T253=4,P253-U253,0)</f>
        <v>0</v>
      </c>
      <c r="AO253">
        <f>IF(T253=1,P253-U253,0)</f>
        <v>0</v>
      </c>
      <c r="AP253">
        <f>IF(T253=2,P253-U253,0)</f>
        <v>0</v>
      </c>
      <c r="AQ253">
        <f>IF(T253=3,P253-U253,0)</f>
        <v>0</v>
      </c>
      <c r="AR253">
        <f>IF(T253=4,P253-U253,0)</f>
        <v>0</v>
      </c>
    </row>
    <row r="254" spans="2:44" ht="13.15" customHeight="1" x14ac:dyDescent="0.25">
      <c r="B254" s="8" t="s">
        <v>887</v>
      </c>
      <c r="C254" t="s">
        <v>889</v>
      </c>
      <c r="E254" t="s">
        <v>885</v>
      </c>
      <c r="F254">
        <f t="shared" si="226"/>
        <v>0</v>
      </c>
      <c r="G254">
        <f t="shared" si="207"/>
        <v>1</v>
      </c>
      <c r="H254" s="121" t="s">
        <v>886</v>
      </c>
      <c r="I254" s="121">
        <v>5</v>
      </c>
      <c r="K254" t="s">
        <v>74</v>
      </c>
      <c r="L254" t="s">
        <v>55</v>
      </c>
      <c r="N254" s="4" t="s">
        <v>36</v>
      </c>
      <c r="P254" s="86">
        <v>1267</v>
      </c>
      <c r="Q254" s="1">
        <f t="shared" si="208"/>
        <v>507</v>
      </c>
      <c r="R254">
        <f>IF(P254&gt;0,((P254+500)-Q254)+U254,0)</f>
        <v>1260</v>
      </c>
      <c r="S254" s="168" t="s">
        <v>888</v>
      </c>
      <c r="T254" s="61"/>
      <c r="U254" s="61">
        <f t="shared" si="238"/>
        <v>0</v>
      </c>
      <c r="V254" s="7" t="str">
        <f t="shared" si="211"/>
        <v>NONE</v>
      </c>
      <c r="W254" s="56"/>
      <c r="X254" s="5" t="s">
        <v>162</v>
      </c>
      <c r="Y254" s="61">
        <f t="shared" si="212"/>
        <v>1767</v>
      </c>
      <c r="Z254" s="61"/>
      <c r="AA254" s="1">
        <f>IF(X254=$AA$1,R254-500,0)</f>
        <v>0</v>
      </c>
      <c r="AB254" s="1">
        <f t="shared" si="214"/>
        <v>130</v>
      </c>
      <c r="AC254" s="1"/>
      <c r="AD254" s="65">
        <f t="shared" si="215"/>
        <v>1137</v>
      </c>
      <c r="AE254" s="1"/>
      <c r="AF254" s="1">
        <f t="shared" si="216"/>
        <v>30</v>
      </c>
      <c r="AG254" s="1">
        <f>IF(AH254&gt;0,AH134:AH254,0)</f>
        <v>1107</v>
      </c>
      <c r="AH254" s="1">
        <f t="shared" si="227"/>
        <v>1107</v>
      </c>
      <c r="AJ254">
        <f t="shared" si="228"/>
        <v>0</v>
      </c>
      <c r="AK254">
        <f t="shared" si="229"/>
        <v>0</v>
      </c>
      <c r="AL254">
        <f t="shared" si="230"/>
        <v>0</v>
      </c>
      <c r="AM254">
        <f t="shared" si="231"/>
        <v>0</v>
      </c>
      <c r="AO254">
        <f t="shared" si="232"/>
        <v>0</v>
      </c>
      <c r="AP254">
        <f t="shared" si="233"/>
        <v>0</v>
      </c>
      <c r="AQ254">
        <f t="shared" si="234"/>
        <v>0</v>
      </c>
      <c r="AR254">
        <f t="shared" si="235"/>
        <v>0</v>
      </c>
    </row>
    <row r="255" spans="2:44" x14ac:dyDescent="0.25">
      <c r="F255">
        <f>IF(E253=$B$12,I255,0)</f>
        <v>0</v>
      </c>
      <c r="G255">
        <f t="shared" si="207"/>
        <v>1</v>
      </c>
      <c r="I255" s="121">
        <v>6</v>
      </c>
      <c r="L255" t="s">
        <v>55</v>
      </c>
      <c r="M255" s="87"/>
      <c r="N255" s="4" t="s">
        <v>36</v>
      </c>
      <c r="P255" s="86">
        <v>0</v>
      </c>
      <c r="Q255" s="1">
        <f>ROUND((P255*0.4),0)</f>
        <v>0</v>
      </c>
      <c r="R255">
        <f>IF(P255&gt;0,((P255+500)-Q255)+U255,0)</f>
        <v>0</v>
      </c>
      <c r="T255" s="61"/>
      <c r="U255" s="61">
        <f>IF(V255=$AE$2,47,IF(V255=$AE$1,ROUND(((P255+500)*0.039),0),IF(V255=$AE$3,0)))</f>
        <v>0</v>
      </c>
      <c r="V255" s="7" t="str">
        <f t="shared" si="211"/>
        <v>NONE</v>
      </c>
      <c r="W255" s="56"/>
      <c r="Y255" s="61">
        <f t="shared" si="212"/>
        <v>0</v>
      </c>
      <c r="Z255" s="61"/>
      <c r="AA255" s="1">
        <f>IF(X253=$AA$1,R255-500,0)</f>
        <v>0</v>
      </c>
      <c r="AB255" s="1">
        <f t="shared" si="214"/>
        <v>130</v>
      </c>
      <c r="AC255" s="1"/>
      <c r="AD255" s="65">
        <f>(P255+U255)-AB255</f>
        <v>-130</v>
      </c>
      <c r="AE255" s="1"/>
      <c r="AF255" s="1">
        <f t="shared" si="216"/>
        <v>30</v>
      </c>
      <c r="AG255" s="1">
        <f>IF(AH255&gt;0,AH134:AH255,0)</f>
        <v>0</v>
      </c>
      <c r="AH255" s="1">
        <f t="shared" si="227"/>
        <v>-160</v>
      </c>
      <c r="AJ255">
        <f>IF(T255=1,P255-U255,0)</f>
        <v>0</v>
      </c>
      <c r="AK255">
        <f>IF(T255=2,P255-U255,0)</f>
        <v>0</v>
      </c>
      <c r="AL255">
        <f>IF(T255=3,P255-U255,0)</f>
        <v>0</v>
      </c>
      <c r="AM255">
        <f>IF(T255=4,P255-U255,0)</f>
        <v>0</v>
      </c>
      <c r="AO255">
        <f>IF(T255=1,P255-U255,0)</f>
        <v>0</v>
      </c>
      <c r="AP255">
        <f>IF(T255=2,P255-U255,0)</f>
        <v>0</v>
      </c>
      <c r="AQ255">
        <f>IF(T255=3,P255-U255,0)</f>
        <v>0</v>
      </c>
      <c r="AR255">
        <f>IF(T255=4,P255-U255,0)</f>
        <v>0</v>
      </c>
    </row>
    <row r="256" spans="2:44" x14ac:dyDescent="0.25">
      <c r="B256" s="8"/>
      <c r="C256" s="8"/>
      <c r="D256" s="8"/>
      <c r="F256">
        <f t="shared" si="226"/>
        <v>0</v>
      </c>
      <c r="G256">
        <f t="shared" si="207"/>
        <v>1</v>
      </c>
      <c r="I256" s="121">
        <v>0</v>
      </c>
      <c r="L256" t="s">
        <v>55</v>
      </c>
      <c r="N256" s="4" t="s">
        <v>36</v>
      </c>
      <c r="P256" s="86">
        <v>0</v>
      </c>
      <c r="Q256" s="1">
        <f t="shared" si="208"/>
        <v>0</v>
      </c>
      <c r="R256">
        <f t="shared" ref="R256:R271" si="239">IF(P256&gt;0,((P256+500)-Q256)+U256,0)</f>
        <v>0</v>
      </c>
      <c r="S256" s="168"/>
      <c r="T256" s="61"/>
      <c r="U256" s="61">
        <f t="shared" si="238"/>
        <v>0</v>
      </c>
      <c r="V256" s="7" t="str">
        <f t="shared" si="211"/>
        <v>NONE</v>
      </c>
      <c r="W256" s="56"/>
      <c r="X256" s="5"/>
      <c r="Y256" s="61">
        <f t="shared" si="212"/>
        <v>0</v>
      </c>
      <c r="Z256" s="61"/>
      <c r="AA256" s="1">
        <f>IF(X256=$AA$1,R256-500,0)</f>
        <v>0</v>
      </c>
      <c r="AB256" s="1">
        <f t="shared" si="214"/>
        <v>0</v>
      </c>
      <c r="AC256" s="1"/>
      <c r="AD256" s="65">
        <f t="shared" si="215"/>
        <v>0</v>
      </c>
      <c r="AE256" s="1"/>
      <c r="AF256" s="1">
        <f t="shared" si="216"/>
        <v>0</v>
      </c>
      <c r="AG256" s="1">
        <f>IF(AH256&gt;0,AH135:AH256,0)</f>
        <v>0</v>
      </c>
      <c r="AH256" s="1">
        <f t="shared" si="227"/>
        <v>0</v>
      </c>
      <c r="AJ256">
        <f t="shared" si="228"/>
        <v>0</v>
      </c>
      <c r="AK256">
        <f t="shared" si="229"/>
        <v>0</v>
      </c>
      <c r="AL256">
        <f t="shared" si="230"/>
        <v>0</v>
      </c>
      <c r="AM256">
        <f t="shared" si="231"/>
        <v>0</v>
      </c>
      <c r="AO256">
        <f t="shared" si="232"/>
        <v>0</v>
      </c>
      <c r="AP256">
        <f t="shared" si="233"/>
        <v>0</v>
      </c>
      <c r="AQ256">
        <f t="shared" si="234"/>
        <v>0</v>
      </c>
      <c r="AR256">
        <f t="shared" si="235"/>
        <v>0</v>
      </c>
    </row>
    <row r="257" spans="2:44" x14ac:dyDescent="0.25">
      <c r="B257" s="82" t="s">
        <v>82</v>
      </c>
      <c r="C257" s="8" t="s">
        <v>42</v>
      </c>
      <c r="D257" s="8"/>
      <c r="E257" t="s">
        <v>42</v>
      </c>
      <c r="F257">
        <f>IF(E257=$B$12,I257,0)</f>
        <v>4</v>
      </c>
      <c r="G257">
        <f>IF(F257&gt;0,0,1)</f>
        <v>0</v>
      </c>
      <c r="H257" s="83" t="s">
        <v>789</v>
      </c>
      <c r="I257" s="121">
        <v>4</v>
      </c>
      <c r="K257" t="s">
        <v>63</v>
      </c>
      <c r="L257" t="s">
        <v>55</v>
      </c>
      <c r="N257" s="4" t="s">
        <v>36</v>
      </c>
      <c r="P257" s="86">
        <v>0</v>
      </c>
      <c r="Q257" s="1">
        <f t="shared" si="208"/>
        <v>0</v>
      </c>
      <c r="R257">
        <f t="shared" si="239"/>
        <v>0</v>
      </c>
      <c r="S257" s="168"/>
      <c r="T257" s="61"/>
      <c r="U257" s="61">
        <f>IF(V257=$AE$2,47,IF(V257=$AE$1,ROUND(((P257+500)*0.039),0),IF(V257=$AE$3,0)))</f>
        <v>0</v>
      </c>
      <c r="V257" s="7" t="str">
        <f>IF(W257=1,$AE$2,IF(W257=2,$AE$1,IF(AND(W257&lt;&gt;1,W257&lt;&gt;20)=TRUE,$AE$3)))</f>
        <v>NONE</v>
      </c>
      <c r="W257" s="56"/>
      <c r="X257" s="5"/>
      <c r="Y257" s="61">
        <f t="shared" si="212"/>
        <v>0</v>
      </c>
      <c r="Z257" s="61"/>
      <c r="AA257" s="1">
        <f>IF(X257=$AA$1,R257-500,0)</f>
        <v>0</v>
      </c>
      <c r="AB257" s="1">
        <f>IF(I257&gt;0,130,0)</f>
        <v>130</v>
      </c>
      <c r="AC257" s="1"/>
      <c r="AD257" s="65">
        <f>(P257+U257)-AB257</f>
        <v>-130</v>
      </c>
      <c r="AE257" s="1"/>
      <c r="AF257" s="1">
        <f>IF(I257&gt;0,30*G257,0)</f>
        <v>0</v>
      </c>
      <c r="AG257" s="1">
        <f>IF(AH257&gt;0,AH134:AH262,0)</f>
        <v>0</v>
      </c>
      <c r="AH257" s="1">
        <f>AD257-AF257</f>
        <v>-130</v>
      </c>
      <c r="AJ257">
        <f>IF(T257=1,P257-U257,0)</f>
        <v>0</v>
      </c>
      <c r="AK257">
        <f>IF(T257=2,P257-U257,0)</f>
        <v>0</v>
      </c>
      <c r="AL257">
        <f>IF(T257=3,P257-U257,0)</f>
        <v>0</v>
      </c>
      <c r="AM257">
        <f>IF(T257=4,P257-U257,0)</f>
        <v>0</v>
      </c>
      <c r="AO257">
        <f>IF(T257=1,P257-U257,0)</f>
        <v>0</v>
      </c>
      <c r="AP257">
        <f>IF(T257=2,P257-U257,0)</f>
        <v>0</v>
      </c>
      <c r="AQ257">
        <f>IF(T257=3,P257-U257,0)</f>
        <v>0</v>
      </c>
      <c r="AR257">
        <f>IF(T257=4,P257-U257,0)</f>
        <v>0</v>
      </c>
    </row>
    <row r="258" spans="2:44" x14ac:dyDescent="0.25">
      <c r="B258" s="8"/>
      <c r="C258" s="8"/>
      <c r="D258" s="8"/>
      <c r="F258">
        <f>IF(E258=$B$12,I258,0)</f>
        <v>0</v>
      </c>
      <c r="G258">
        <f>IF(F258&gt;0,0,1)</f>
        <v>1</v>
      </c>
      <c r="I258" s="121">
        <v>0</v>
      </c>
      <c r="L258" t="s">
        <v>55</v>
      </c>
      <c r="N258" s="4" t="s">
        <v>36</v>
      </c>
      <c r="P258" s="86">
        <v>0</v>
      </c>
      <c r="Q258" s="1">
        <f t="shared" si="208"/>
        <v>0</v>
      </c>
      <c r="R258">
        <f t="shared" si="239"/>
        <v>0</v>
      </c>
      <c r="S258" s="168"/>
      <c r="T258" s="61"/>
      <c r="U258" s="61">
        <f>IF(V258=$AE$2,47,IF(V258=$AE$1,ROUND(((P258+500)*0.039),0),IF(V258=$AE$3,0)))</f>
        <v>0</v>
      </c>
      <c r="V258" s="7" t="str">
        <f>IF(W258=1,$AE$2,IF(W258=2,$AE$1,IF(AND(W258&lt;&gt;1,W258&lt;&gt;20)=TRUE,$AE$3)))</f>
        <v>NONE</v>
      </c>
      <c r="W258" s="56"/>
      <c r="X258" s="5"/>
      <c r="Y258" s="61">
        <f t="shared" si="212"/>
        <v>0</v>
      </c>
      <c r="Z258" s="61"/>
      <c r="AA258" s="1">
        <f>IF(X258=$AA$1,R258-500,0)</f>
        <v>0</v>
      </c>
      <c r="AB258" s="1">
        <f>IF(I258&gt;0,130,0)</f>
        <v>0</v>
      </c>
      <c r="AC258" s="1"/>
      <c r="AD258" s="65">
        <f>(P258+U258)-AB258</f>
        <v>0</v>
      </c>
      <c r="AE258" s="1"/>
      <c r="AF258" s="1">
        <f>IF(I258&gt;0,30*G258,0)</f>
        <v>0</v>
      </c>
      <c r="AG258" s="1">
        <f>IF(AH258&gt;0,AH136:AH258,0)</f>
        <v>0</v>
      </c>
      <c r="AH258" s="1">
        <f>AD258-AF258</f>
        <v>0</v>
      </c>
      <c r="AJ258">
        <f>IF(T258=1,P258-U258,0)</f>
        <v>0</v>
      </c>
      <c r="AK258">
        <f>IF(T258=2,P258-U258,0)</f>
        <v>0</v>
      </c>
      <c r="AL258">
        <f>IF(T258=3,P258-U258,0)</f>
        <v>0</v>
      </c>
      <c r="AM258">
        <f>IF(T258=4,P258-U258,0)</f>
        <v>0</v>
      </c>
      <c r="AO258">
        <f>IF(T258=1,P258-U258,0)</f>
        <v>0</v>
      </c>
      <c r="AP258">
        <f>IF(T258=2,P258-U258,0)</f>
        <v>0</v>
      </c>
      <c r="AQ258">
        <f>IF(T258=3,P258-U258,0)</f>
        <v>0</v>
      </c>
      <c r="AR258">
        <f>IF(T258=4,P258-U258,0)</f>
        <v>0</v>
      </c>
    </row>
    <row r="259" spans="2:44" ht="15.75" x14ac:dyDescent="0.25">
      <c r="B259" s="139" t="s">
        <v>845</v>
      </c>
      <c r="C259" t="s">
        <v>847</v>
      </c>
      <c r="E259" t="s">
        <v>370</v>
      </c>
      <c r="F259">
        <f>IF(E259=$B$12,I259,0)</f>
        <v>0</v>
      </c>
      <c r="G259">
        <f>IF(F259&gt;0,0,1)</f>
        <v>1</v>
      </c>
      <c r="H259" s="121" t="s">
        <v>846</v>
      </c>
      <c r="I259" s="121">
        <v>14</v>
      </c>
      <c r="K259" t="s">
        <v>848</v>
      </c>
      <c r="L259" t="s">
        <v>55</v>
      </c>
      <c r="N259" s="4" t="s">
        <v>36</v>
      </c>
      <c r="P259" s="86">
        <v>3039</v>
      </c>
      <c r="Q259" s="1">
        <f t="shared" si="208"/>
        <v>1216</v>
      </c>
      <c r="R259">
        <f t="shared" si="239"/>
        <v>2323</v>
      </c>
      <c r="S259" s="168" t="s">
        <v>849</v>
      </c>
      <c r="T259" s="61"/>
      <c r="U259" s="61">
        <f>IF(V259=$AE$2,47,IF(V259=$AE$1,ROUND(((P259+500)*0.039),0),IF(V259=$AE$3,0)))</f>
        <v>0</v>
      </c>
      <c r="V259" s="7" t="str">
        <f>IF(W259=1,$AE$2,IF(W259=2,$AE$1,IF(AND(W259&lt;&gt;1,W259&lt;&gt;20)=TRUE,$AE$3)))</f>
        <v>NONE</v>
      </c>
      <c r="W259" s="56"/>
      <c r="X259" s="5" t="s">
        <v>25</v>
      </c>
      <c r="Y259" s="61">
        <f t="shared" si="212"/>
        <v>3539</v>
      </c>
      <c r="Z259" s="61"/>
      <c r="AA259" s="1">
        <f>IF(X259=$AA$1,R259-500,0)</f>
        <v>0</v>
      </c>
      <c r="AB259" s="1">
        <f>IF(I259&gt;0,130,0)</f>
        <v>130</v>
      </c>
      <c r="AC259" s="1"/>
      <c r="AD259" s="65">
        <f>(P259+U259)-AB259</f>
        <v>2909</v>
      </c>
      <c r="AE259" s="1"/>
      <c r="AF259" s="1">
        <f>IF(I259&gt;0,30*G259,0)</f>
        <v>30</v>
      </c>
      <c r="AG259" s="1">
        <f>IF(AH259&gt;0,AH134:AH259,0)</f>
        <v>2879</v>
      </c>
      <c r="AH259" s="1">
        <f>AD259-AF259</f>
        <v>2879</v>
      </c>
      <c r="AJ259">
        <f>IF(T259=1,P259-U259,0)</f>
        <v>0</v>
      </c>
      <c r="AK259">
        <f>IF(T259=2,P259-U259,0)</f>
        <v>0</v>
      </c>
      <c r="AL259">
        <f>IF(T259=3,P259-U259,0)</f>
        <v>0</v>
      </c>
      <c r="AM259">
        <f>IF(T259=4,P259-U259,0)</f>
        <v>0</v>
      </c>
      <c r="AO259">
        <f>IF(T259=1,P259-U259,0)</f>
        <v>0</v>
      </c>
      <c r="AP259">
        <f>IF(T259=2,P259-U259,0)</f>
        <v>0</v>
      </c>
      <c r="AQ259">
        <f>IF(T259=3,P259-U259,0)</f>
        <v>0</v>
      </c>
      <c r="AR259">
        <f>IF(T259=4,P259-U259,0)</f>
        <v>0</v>
      </c>
    </row>
    <row r="260" spans="2:44" x14ac:dyDescent="0.25">
      <c r="B260" s="8"/>
      <c r="C260" s="8"/>
      <c r="D260" s="8"/>
      <c r="F260">
        <f>IF(E260=$B$12,I260,0)</f>
        <v>0</v>
      </c>
      <c r="G260">
        <f>IF(F260&gt;0,0,1)</f>
        <v>1</v>
      </c>
      <c r="I260" s="121">
        <v>0</v>
      </c>
      <c r="L260" t="s">
        <v>55</v>
      </c>
      <c r="N260" s="4" t="s">
        <v>36</v>
      </c>
      <c r="P260" s="86">
        <v>0</v>
      </c>
      <c r="Q260" s="1">
        <f t="shared" si="208"/>
        <v>0</v>
      </c>
      <c r="R260">
        <f t="shared" si="239"/>
        <v>0</v>
      </c>
      <c r="S260" s="168"/>
      <c r="T260" s="61"/>
      <c r="U260" s="61">
        <f>IF(V260=$AE$2,47,IF(V260=$AE$1,ROUND(((P260+500)*0.039),0),IF(V260=$AE$3,0)))</f>
        <v>0</v>
      </c>
      <c r="V260" s="7" t="str">
        <f>IF(W260=1,$AE$2,IF(W260=2,$AE$1,IF(AND(W260&lt;&gt;1,W260&lt;&gt;20)=TRUE,$AE$3)))</f>
        <v>NONE</v>
      </c>
      <c r="W260" s="56"/>
      <c r="X260" s="5"/>
      <c r="Y260" s="61">
        <f t="shared" si="212"/>
        <v>0</v>
      </c>
      <c r="Z260" s="61"/>
      <c r="AA260" s="1">
        <f>IF(X260=$AA$1,R260-500,0)</f>
        <v>0</v>
      </c>
      <c r="AB260" s="1">
        <f>IF(I260&gt;0,130,0)</f>
        <v>0</v>
      </c>
      <c r="AC260" s="1"/>
      <c r="AD260" s="65">
        <f>(P260+U260)-AB260</f>
        <v>0</v>
      </c>
      <c r="AE260" s="1"/>
      <c r="AF260" s="1">
        <f>IF(I260&gt;0,30*G260,0)</f>
        <v>0</v>
      </c>
      <c r="AG260" s="1">
        <f>IF(AH260&gt;0,AH136:AH267,0)</f>
        <v>0</v>
      </c>
      <c r="AH260" s="1">
        <f>AD260-AF260</f>
        <v>0</v>
      </c>
      <c r="AJ260">
        <f>IF(T260=1,P260-U260,0)</f>
        <v>0</v>
      </c>
      <c r="AK260">
        <f>IF(T260=2,P260-U260,0)</f>
        <v>0</v>
      </c>
      <c r="AL260">
        <f>IF(T260=3,P260-U260,0)</f>
        <v>0</v>
      </c>
      <c r="AM260">
        <f>IF(T260=4,P260-U260,0)</f>
        <v>0</v>
      </c>
      <c r="AO260">
        <f>IF(T260=1,P260-U260,0)</f>
        <v>0</v>
      </c>
      <c r="AP260">
        <f>IF(T260=2,P260-U260,0)</f>
        <v>0</v>
      </c>
      <c r="AQ260">
        <f>IF(T260=3,P260-U260,0)</f>
        <v>0</v>
      </c>
      <c r="AR260">
        <f>IF(T260=4,P260-U260,0)</f>
        <v>0</v>
      </c>
    </row>
    <row r="261" spans="2:44" x14ac:dyDescent="0.25">
      <c r="B261" s="8"/>
      <c r="C261" s="8"/>
      <c r="D261" s="8"/>
      <c r="F261">
        <f t="shared" ref="F261:F267" si="240">IF(E261=$B$12,I261,0)</f>
        <v>0</v>
      </c>
      <c r="G261">
        <f t="shared" ref="G261:G267" si="241">IF(F261&gt;0,0,1)</f>
        <v>1</v>
      </c>
      <c r="I261" s="121">
        <v>0</v>
      </c>
      <c r="L261" t="s">
        <v>55</v>
      </c>
      <c r="N261" s="4" t="s">
        <v>36</v>
      </c>
      <c r="P261" s="86">
        <v>0</v>
      </c>
      <c r="Q261" s="1">
        <f t="shared" si="208"/>
        <v>0</v>
      </c>
      <c r="R261">
        <f t="shared" si="239"/>
        <v>0</v>
      </c>
      <c r="S261" s="168"/>
      <c r="T261" s="61"/>
      <c r="U261" s="61">
        <f t="shared" ref="U261:U267" si="242">IF(V261=$AE$2,47,IF(V261=$AE$1,ROUND(((P261+500)*0.039),0),IF(V261=$AE$3,0)))</f>
        <v>0</v>
      </c>
      <c r="V261" s="7" t="str">
        <f t="shared" ref="V261:V267" si="243">IF(W261=1,$AE$2,IF(W261=2,$AE$1,IF(AND(W261&lt;&gt;1,W261&lt;&gt;20)=TRUE,$AE$3)))</f>
        <v>NONE</v>
      </c>
      <c r="W261" s="56"/>
      <c r="X261" s="5"/>
      <c r="Y261" s="61">
        <f t="shared" si="212"/>
        <v>0</v>
      </c>
      <c r="Z261" s="61"/>
      <c r="AA261" s="1">
        <f t="shared" ref="AA261:AA267" si="244">IF(X261=$AA$1,R261-500,0)</f>
        <v>0</v>
      </c>
      <c r="AB261" s="1">
        <f t="shared" ref="AB261:AB267" si="245">IF(I261&gt;0,130,0)</f>
        <v>0</v>
      </c>
      <c r="AC261" s="1"/>
      <c r="AD261" s="65">
        <f t="shared" ref="AD261:AD267" si="246">(P261+U261)-AB261</f>
        <v>0</v>
      </c>
      <c r="AE261" s="1"/>
      <c r="AF261" s="1">
        <f t="shared" ref="AF261:AF267" si="247">IF(I261&gt;0,30*G261,0)</f>
        <v>0</v>
      </c>
      <c r="AG261" s="1">
        <f>IF(AH261&gt;0,AH137:AH261,0)</f>
        <v>0</v>
      </c>
      <c r="AH261" s="1">
        <f t="shared" ref="AH261:AH267" si="248">AD261-AF261</f>
        <v>0</v>
      </c>
      <c r="AJ261">
        <f t="shared" ref="AJ261:AJ267" si="249">IF(T261=1,P261-U261,0)</f>
        <v>0</v>
      </c>
      <c r="AK261">
        <f t="shared" ref="AK261:AK267" si="250">IF(T261=2,P261-U261,0)</f>
        <v>0</v>
      </c>
      <c r="AL261">
        <f t="shared" ref="AL261:AL267" si="251">IF(T261=3,P261-U261,0)</f>
        <v>0</v>
      </c>
      <c r="AM261">
        <f t="shared" ref="AM261:AM267" si="252">IF(T261=4,P261-U261,0)</f>
        <v>0</v>
      </c>
      <c r="AO261">
        <f t="shared" ref="AO261:AO267" si="253">IF(T261=1,P261-U261,0)</f>
        <v>0</v>
      </c>
      <c r="AP261">
        <f t="shared" ref="AP261:AP267" si="254">IF(T261=2,P261-U261,0)</f>
        <v>0</v>
      </c>
      <c r="AQ261">
        <f t="shared" ref="AQ261:AQ267" si="255">IF(T261=3,P261-U261,0)</f>
        <v>0</v>
      </c>
      <c r="AR261">
        <f t="shared" ref="AR261:AR267" si="256">IF(T261=4,P261-U261,0)</f>
        <v>0</v>
      </c>
    </row>
    <row r="262" spans="2:44" x14ac:dyDescent="0.25">
      <c r="B262" s="82" t="s">
        <v>82</v>
      </c>
      <c r="E262" t="s">
        <v>42</v>
      </c>
      <c r="F262">
        <f t="shared" si="240"/>
        <v>4</v>
      </c>
      <c r="G262">
        <f t="shared" si="241"/>
        <v>0</v>
      </c>
      <c r="H262" t="s">
        <v>860</v>
      </c>
      <c r="I262" s="121">
        <v>4</v>
      </c>
      <c r="K262" t="s">
        <v>771</v>
      </c>
      <c r="L262" t="s">
        <v>55</v>
      </c>
      <c r="N262" s="4" t="s">
        <v>36</v>
      </c>
      <c r="P262" s="86">
        <v>0</v>
      </c>
      <c r="Q262" s="1">
        <f t="shared" si="208"/>
        <v>0</v>
      </c>
      <c r="R262">
        <f t="shared" si="239"/>
        <v>0</v>
      </c>
      <c r="S262" s="168"/>
      <c r="T262" s="61"/>
      <c r="U262" s="61">
        <f t="shared" si="242"/>
        <v>0</v>
      </c>
      <c r="V262" s="7" t="str">
        <f t="shared" si="243"/>
        <v>NONE</v>
      </c>
      <c r="W262" s="56"/>
      <c r="X262" s="5"/>
      <c r="Y262" s="61">
        <f t="shared" si="212"/>
        <v>0</v>
      </c>
      <c r="Z262" s="61"/>
      <c r="AA262" s="1">
        <f t="shared" si="244"/>
        <v>0</v>
      </c>
      <c r="AB262" s="1">
        <f t="shared" si="245"/>
        <v>130</v>
      </c>
      <c r="AC262" s="1"/>
      <c r="AD262" s="65">
        <f t="shared" si="246"/>
        <v>-130</v>
      </c>
      <c r="AE262" s="1"/>
      <c r="AF262" s="1">
        <f t="shared" si="247"/>
        <v>0</v>
      </c>
      <c r="AG262" s="1">
        <f>IF(AH262&gt;0,AH138:AH262,0)</f>
        <v>0</v>
      </c>
      <c r="AH262" s="1">
        <f t="shared" si="248"/>
        <v>-130</v>
      </c>
      <c r="AJ262">
        <f t="shared" si="249"/>
        <v>0</v>
      </c>
      <c r="AK262">
        <f t="shared" si="250"/>
        <v>0</v>
      </c>
      <c r="AL262">
        <f t="shared" si="251"/>
        <v>0</v>
      </c>
      <c r="AM262">
        <f t="shared" si="252"/>
        <v>0</v>
      </c>
      <c r="AO262">
        <f t="shared" si="253"/>
        <v>0</v>
      </c>
      <c r="AP262">
        <f t="shared" si="254"/>
        <v>0</v>
      </c>
      <c r="AQ262">
        <f t="shared" si="255"/>
        <v>0</v>
      </c>
      <c r="AR262">
        <f t="shared" si="256"/>
        <v>0</v>
      </c>
    </row>
    <row r="263" spans="2:44" ht="21" x14ac:dyDescent="0.35">
      <c r="B263" s="161" t="s">
        <v>952</v>
      </c>
      <c r="C263" t="s">
        <v>871</v>
      </c>
      <c r="E263" t="s">
        <v>61</v>
      </c>
      <c r="F263">
        <f t="shared" si="240"/>
        <v>0</v>
      </c>
      <c r="G263">
        <f t="shared" si="241"/>
        <v>1</v>
      </c>
      <c r="H263" s="121" t="s">
        <v>872</v>
      </c>
      <c r="I263" s="121">
        <v>11</v>
      </c>
      <c r="K263" t="s">
        <v>873</v>
      </c>
      <c r="L263" t="s">
        <v>55</v>
      </c>
      <c r="N263" s="4" t="s">
        <v>36</v>
      </c>
      <c r="P263" s="86">
        <v>3200</v>
      </c>
      <c r="Q263" s="1">
        <f t="shared" si="208"/>
        <v>1280</v>
      </c>
      <c r="R263">
        <f t="shared" si="239"/>
        <v>2420</v>
      </c>
      <c r="S263" s="168" t="s">
        <v>874</v>
      </c>
      <c r="T263" s="61"/>
      <c r="U263" s="61">
        <f t="shared" si="242"/>
        <v>0</v>
      </c>
      <c r="V263" s="7" t="str">
        <f t="shared" si="243"/>
        <v>NONE</v>
      </c>
      <c r="W263" s="56"/>
      <c r="X263" s="87" t="s">
        <v>162</v>
      </c>
      <c r="Y263" s="61">
        <f t="shared" si="212"/>
        <v>3700</v>
      </c>
      <c r="Z263" s="61"/>
      <c r="AA263" s="1">
        <f t="shared" si="244"/>
        <v>0</v>
      </c>
      <c r="AB263" s="1">
        <f t="shared" si="245"/>
        <v>130</v>
      </c>
      <c r="AC263" s="1"/>
      <c r="AD263" s="65">
        <f t="shared" si="246"/>
        <v>3070</v>
      </c>
      <c r="AE263" s="1"/>
      <c r="AF263" s="1">
        <f t="shared" si="247"/>
        <v>30</v>
      </c>
      <c r="AG263" s="1">
        <f>IF(AH263&gt;0,AH144:AH263,0)</f>
        <v>3040</v>
      </c>
      <c r="AH263" s="1">
        <f t="shared" si="248"/>
        <v>3040</v>
      </c>
      <c r="AJ263">
        <f t="shared" si="249"/>
        <v>0</v>
      </c>
      <c r="AK263">
        <f t="shared" si="250"/>
        <v>0</v>
      </c>
      <c r="AL263">
        <f t="shared" si="251"/>
        <v>0</v>
      </c>
      <c r="AM263">
        <f t="shared" si="252"/>
        <v>0</v>
      </c>
      <c r="AO263">
        <f t="shared" si="253"/>
        <v>0</v>
      </c>
      <c r="AP263">
        <f t="shared" si="254"/>
        <v>0</v>
      </c>
      <c r="AQ263">
        <f t="shared" si="255"/>
        <v>0</v>
      </c>
      <c r="AR263">
        <f t="shared" si="256"/>
        <v>0</v>
      </c>
    </row>
    <row r="264" spans="2:44" x14ac:dyDescent="0.25">
      <c r="B264" s="146" t="s">
        <v>862</v>
      </c>
      <c r="C264" t="s">
        <v>863</v>
      </c>
      <c r="E264" t="s">
        <v>61</v>
      </c>
      <c r="F264">
        <f>IF(E264=$B$12,I264,0)</f>
        <v>0</v>
      </c>
      <c r="G264">
        <f>IF(F264&gt;0,0,1)</f>
        <v>1</v>
      </c>
      <c r="H264" t="s">
        <v>861</v>
      </c>
      <c r="I264" s="121">
        <v>7</v>
      </c>
      <c r="K264" t="s">
        <v>864</v>
      </c>
      <c r="L264" t="s">
        <v>55</v>
      </c>
      <c r="N264" s="4" t="s">
        <v>36</v>
      </c>
      <c r="P264" s="86">
        <v>1840</v>
      </c>
      <c r="Q264" s="1">
        <f>ROUND((P264*0.4),0)</f>
        <v>736</v>
      </c>
      <c r="R264">
        <f>IF(P264&gt;0,((P264+500)-Q264)+U264,0)</f>
        <v>1604</v>
      </c>
      <c r="S264" s="168" t="s">
        <v>865</v>
      </c>
      <c r="T264" s="61"/>
      <c r="U264" s="61">
        <f>IF(V264=$AE$2,47,IF(V264=$AE$1,ROUND(((P264+500)*0.039),0),IF(V264=$AE$3,0)))</f>
        <v>0</v>
      </c>
      <c r="V264" s="7" t="str">
        <f>IF(W264=1,$AE$2,IF(W264=2,$AE$1,IF(AND(W264&lt;&gt;1,W264&lt;&gt;20)=TRUE,$AE$3)))</f>
        <v>NONE</v>
      </c>
      <c r="W264" s="56"/>
      <c r="X264" s="87" t="s">
        <v>25</v>
      </c>
      <c r="Y264" s="61">
        <f>R264+Q264</f>
        <v>2340</v>
      </c>
      <c r="Z264" s="61"/>
      <c r="AA264" s="1">
        <f>IF(X264=$AA$1,R264-500,0)</f>
        <v>0</v>
      </c>
      <c r="AB264" s="1">
        <f>IF(I264&gt;0,130,0)</f>
        <v>130</v>
      </c>
      <c r="AC264" s="1"/>
      <c r="AD264" s="65">
        <f>(P264+U264)-AB264</f>
        <v>1710</v>
      </c>
      <c r="AE264" s="1"/>
      <c r="AF264" s="1">
        <f>IF(I264&gt;0,30*G264,0)</f>
        <v>30</v>
      </c>
      <c r="AG264" s="1">
        <f>IF(AH264&gt;0,AH144:AH264,0)</f>
        <v>1680</v>
      </c>
      <c r="AH264" s="1">
        <f>AD264-AF264</f>
        <v>1680</v>
      </c>
      <c r="AJ264">
        <f>IF(T264=1,P264-U264,0)</f>
        <v>0</v>
      </c>
      <c r="AK264">
        <f>IF(T264=2,P264-U264,0)</f>
        <v>0</v>
      </c>
      <c r="AL264">
        <f>IF(T264=3,P264-U264,0)</f>
        <v>0</v>
      </c>
      <c r="AM264">
        <f>IF(T264=4,P264-U264,0)</f>
        <v>0</v>
      </c>
      <c r="AO264">
        <f>IF(T264=1,P264-U264,0)</f>
        <v>0</v>
      </c>
      <c r="AP264">
        <f>IF(T264=2,P264-U264,0)</f>
        <v>0</v>
      </c>
      <c r="AQ264">
        <f>IF(T264=3,P264-U264,0)</f>
        <v>0</v>
      </c>
      <c r="AR264">
        <f>IF(T264=4,P264-U264,0)</f>
        <v>0</v>
      </c>
    </row>
    <row r="265" spans="2:44" x14ac:dyDescent="0.25">
      <c r="B265" s="8" t="s">
        <v>947</v>
      </c>
      <c r="C265" t="s">
        <v>878</v>
      </c>
      <c r="F265">
        <f>IF(E265=$B$12,I265,0)</f>
        <v>0</v>
      </c>
      <c r="G265">
        <f>IF(F265&gt;0,0,1)</f>
        <v>1</v>
      </c>
      <c r="H265" t="s">
        <v>875</v>
      </c>
      <c r="I265" s="121">
        <v>7</v>
      </c>
      <c r="K265" t="s">
        <v>876</v>
      </c>
      <c r="L265" t="s">
        <v>55</v>
      </c>
      <c r="N265" s="4" t="s">
        <v>36</v>
      </c>
      <c r="P265" s="86">
        <v>1786</v>
      </c>
      <c r="Q265" s="1">
        <f>ROUND((P265*0.4),0)</f>
        <v>714</v>
      </c>
      <c r="R265">
        <f>IF(P265&gt;0,((P265+500)-Q265)+U265,0)</f>
        <v>1572</v>
      </c>
      <c r="S265" s="168" t="s">
        <v>877</v>
      </c>
      <c r="T265" s="61"/>
      <c r="U265" s="61">
        <f>IF(V265=$AE$2,47,IF(V265=$AE$1,ROUND(((P265+500)*0.039),0),IF(V265=$AE$3,0)))</f>
        <v>0</v>
      </c>
      <c r="V265" s="7" t="str">
        <f>IF(W265=1,$AE$2,IF(W265=2,$AE$1,IF(AND(W265&lt;&gt;1,W265&lt;&gt;20)=TRUE,$AE$3)))</f>
        <v>NONE</v>
      </c>
      <c r="W265" s="56"/>
      <c r="X265" s="5" t="s">
        <v>953</v>
      </c>
      <c r="Y265" s="61">
        <f>R265+Q265</f>
        <v>2286</v>
      </c>
      <c r="Z265" s="61"/>
      <c r="AA265" s="1">
        <f>IF(X265=$AA$1,R265-500,0)</f>
        <v>0</v>
      </c>
      <c r="AB265" s="1">
        <f>IF(I265&gt;0,130,0)</f>
        <v>130</v>
      </c>
      <c r="AC265" s="1"/>
      <c r="AD265" s="65">
        <f>(P265+U265)-AB265</f>
        <v>1656</v>
      </c>
      <c r="AE265" s="1"/>
      <c r="AF265" s="1">
        <f>IF(I265&gt;0,30*G265,0)</f>
        <v>30</v>
      </c>
      <c r="AG265" s="1">
        <f>IF(AH265&gt;0,AH144:AH265,0)</f>
        <v>1626</v>
      </c>
      <c r="AH265" s="1">
        <f>AD265-AF265</f>
        <v>1626</v>
      </c>
      <c r="AJ265">
        <f>IF(T265=1,P265-U265,0)</f>
        <v>0</v>
      </c>
      <c r="AK265">
        <f>IF(T265=2,P265-U265,0)</f>
        <v>0</v>
      </c>
      <c r="AL265">
        <f>IF(T265=3,P265-U265,0)</f>
        <v>0</v>
      </c>
      <c r="AM265">
        <f>IF(T265=4,P265-U265,0)</f>
        <v>0</v>
      </c>
      <c r="AO265">
        <f>IF(T265=1,P265-U265,0)</f>
        <v>0</v>
      </c>
      <c r="AP265">
        <f>IF(T265=2,P265-U265,0)</f>
        <v>0</v>
      </c>
      <c r="AQ265">
        <f>IF(T265=3,P265-U265,0)</f>
        <v>0</v>
      </c>
      <c r="AR265">
        <f>IF(T265=4,P265-U265,0)</f>
        <v>0</v>
      </c>
    </row>
    <row r="266" spans="2:44" x14ac:dyDescent="0.25">
      <c r="B266" t="s">
        <v>955</v>
      </c>
      <c r="C266" t="s">
        <v>929</v>
      </c>
      <c r="E266" t="s">
        <v>930</v>
      </c>
      <c r="F266">
        <f>IF(E266=$B$12,I266,0)</f>
        <v>0</v>
      </c>
      <c r="G266">
        <f>IF(F266&gt;0,0,1)</f>
        <v>1</v>
      </c>
      <c r="H266" s="121" t="s">
        <v>931</v>
      </c>
      <c r="I266" s="121">
        <v>7</v>
      </c>
      <c r="K266" t="s">
        <v>777</v>
      </c>
      <c r="L266" t="s">
        <v>55</v>
      </c>
      <c r="N266" s="4" t="s">
        <v>36</v>
      </c>
      <c r="P266" s="86">
        <v>1642</v>
      </c>
      <c r="Q266" s="1">
        <f>ROUND((P266*0.4),0)</f>
        <v>657</v>
      </c>
      <c r="R266">
        <f>IF(P266&gt;0,((P266+500)-Q266)+U266,0)</f>
        <v>1485</v>
      </c>
      <c r="S266" s="168" t="s">
        <v>932</v>
      </c>
      <c r="T266" s="61"/>
      <c r="U266" s="61">
        <f>IF(V266=$AE$2,47,IF(V266=$AE$1,ROUND(((P266+500)*0.039),0),IF(V266=$AE$3,0)))</f>
        <v>0</v>
      </c>
      <c r="V266" s="7" t="str">
        <f>IF(W266=1,$AE$2,IF(W266=2,$AE$1,IF(AND(W266&lt;&gt;1,W266&lt;&gt;20)=TRUE,$AE$3)))</f>
        <v>NONE</v>
      </c>
      <c r="W266" s="56"/>
      <c r="X266" s="5" t="s">
        <v>959</v>
      </c>
      <c r="Y266" s="61">
        <f>R266+Q266</f>
        <v>2142</v>
      </c>
      <c r="Z266" s="61"/>
      <c r="AA266" s="1">
        <f>IF(X266=$AA$1,R266-500,0)</f>
        <v>0</v>
      </c>
      <c r="AB266" s="1">
        <f>IF(I266&gt;0,130,0)</f>
        <v>130</v>
      </c>
      <c r="AC266" s="1"/>
      <c r="AD266" s="65">
        <f>(P266+U266)-AB266</f>
        <v>1512</v>
      </c>
      <c r="AE266" s="1"/>
      <c r="AF266" s="1">
        <f>IF(I266&gt;0,30*G266,0)</f>
        <v>30</v>
      </c>
      <c r="AG266" s="1">
        <f>IF(AH266&gt;0,AH142:AH266,0)</f>
        <v>1482</v>
      </c>
      <c r="AH266" s="1">
        <f>AD266-AF266</f>
        <v>1482</v>
      </c>
      <c r="AJ266">
        <f>IF(T266=1,P266-U266,0)</f>
        <v>0</v>
      </c>
      <c r="AK266">
        <f>IF(T266=2,P266-U266,0)</f>
        <v>0</v>
      </c>
      <c r="AL266">
        <f>IF(T266=3,P266-U266,0)</f>
        <v>0</v>
      </c>
      <c r="AM266">
        <f>IF(T266=4,P266-U266,0)</f>
        <v>0</v>
      </c>
      <c r="AO266">
        <f>IF(T266=1,P266-U266,0)</f>
        <v>0</v>
      </c>
      <c r="AP266">
        <f>IF(T266=2,P266-U266,0)</f>
        <v>0</v>
      </c>
      <c r="AQ266">
        <f>IF(T266=3,P266-U266,0)</f>
        <v>0</v>
      </c>
      <c r="AR266">
        <f>IF(T266=4,P266-U266,0)</f>
        <v>0</v>
      </c>
    </row>
    <row r="267" spans="2:44" x14ac:dyDescent="0.25">
      <c r="B267" s="8" t="s">
        <v>914</v>
      </c>
      <c r="C267" t="s">
        <v>701</v>
      </c>
      <c r="E267" t="s">
        <v>915</v>
      </c>
      <c r="F267">
        <f t="shared" si="240"/>
        <v>0</v>
      </c>
      <c r="G267">
        <f t="shared" si="241"/>
        <v>1</v>
      </c>
      <c r="H267" t="s">
        <v>916</v>
      </c>
      <c r="I267" s="121">
        <v>8</v>
      </c>
      <c r="K267" t="s">
        <v>777</v>
      </c>
      <c r="L267" t="s">
        <v>55</v>
      </c>
      <c r="N267" s="4" t="s">
        <v>36</v>
      </c>
      <c r="P267" s="86">
        <v>1690</v>
      </c>
      <c r="Q267" s="1">
        <f t="shared" si="208"/>
        <v>676</v>
      </c>
      <c r="R267">
        <f t="shared" si="239"/>
        <v>1514</v>
      </c>
      <c r="S267" s="168" t="s">
        <v>917</v>
      </c>
      <c r="T267" s="61"/>
      <c r="U267" s="61">
        <f t="shared" si="242"/>
        <v>0</v>
      </c>
      <c r="V267" s="7" t="str">
        <f t="shared" si="243"/>
        <v>NONE</v>
      </c>
      <c r="W267" s="56"/>
      <c r="X267" s="157" t="s">
        <v>958</v>
      </c>
      <c r="Y267" s="61">
        <f t="shared" si="212"/>
        <v>2190</v>
      </c>
      <c r="Z267" s="61"/>
      <c r="AA267" s="1">
        <f t="shared" si="244"/>
        <v>0</v>
      </c>
      <c r="AB267" s="1">
        <f t="shared" si="245"/>
        <v>130</v>
      </c>
      <c r="AC267" s="1"/>
      <c r="AD267" s="65">
        <f t="shared" si="246"/>
        <v>1560</v>
      </c>
      <c r="AE267" s="1"/>
      <c r="AF267" s="1">
        <f t="shared" si="247"/>
        <v>30</v>
      </c>
      <c r="AG267" s="1">
        <f>IF(AH267&gt;0,AH145:AH267,0)</f>
        <v>1530</v>
      </c>
      <c r="AH267" s="1">
        <f t="shared" si="248"/>
        <v>1530</v>
      </c>
      <c r="AJ267">
        <f t="shared" si="249"/>
        <v>0</v>
      </c>
      <c r="AK267">
        <f t="shared" si="250"/>
        <v>0</v>
      </c>
      <c r="AL267">
        <f t="shared" si="251"/>
        <v>0</v>
      </c>
      <c r="AM267">
        <f t="shared" si="252"/>
        <v>0</v>
      </c>
      <c r="AO267">
        <f t="shared" si="253"/>
        <v>0</v>
      </c>
      <c r="AP267">
        <f t="shared" si="254"/>
        <v>0</v>
      </c>
      <c r="AQ267">
        <f t="shared" si="255"/>
        <v>0</v>
      </c>
      <c r="AR267">
        <f t="shared" si="256"/>
        <v>0</v>
      </c>
    </row>
    <row r="268" spans="2:44" x14ac:dyDescent="0.25">
      <c r="B268" s="82" t="s">
        <v>82</v>
      </c>
      <c r="C268" s="8" t="s">
        <v>42</v>
      </c>
      <c r="D268" s="8"/>
      <c r="E268" t="s">
        <v>42</v>
      </c>
      <c r="F268">
        <f>IF(E268=$B$12,I268,0)</f>
        <v>4</v>
      </c>
      <c r="G268">
        <f>IF(F268&gt;0,0,1)</f>
        <v>0</v>
      </c>
      <c r="H268" s="84" t="s">
        <v>790</v>
      </c>
      <c r="I268" s="121">
        <v>4</v>
      </c>
      <c r="L268" t="s">
        <v>55</v>
      </c>
      <c r="N268" s="4" t="s">
        <v>36</v>
      </c>
      <c r="P268" s="86">
        <v>0</v>
      </c>
      <c r="Q268" s="1">
        <f t="shared" si="208"/>
        <v>0</v>
      </c>
      <c r="R268">
        <f t="shared" si="239"/>
        <v>0</v>
      </c>
      <c r="S268" s="168"/>
      <c r="T268" s="61"/>
      <c r="U268" s="61">
        <f>IF(V268=$AE$2,47,IF(V268=$AE$1,ROUND(((P268+500)*0.039),0),IF(V268=$AE$3,0)))</f>
        <v>0</v>
      </c>
      <c r="V268" s="7" t="str">
        <f>IF(W268=1,$AE$2,IF(W268=2,$AE$1,IF(AND(W268&lt;&gt;1,W268&lt;&gt;20)=TRUE,$AE$3)))</f>
        <v>NONE</v>
      </c>
      <c r="W268" s="56"/>
      <c r="X268" s="5"/>
      <c r="Y268" s="61">
        <f t="shared" si="212"/>
        <v>0</v>
      </c>
      <c r="Z268" s="61"/>
      <c r="AA268" s="1">
        <f>IF(X268=$AA$1,R268-500,0)</f>
        <v>0</v>
      </c>
      <c r="AB268" s="1">
        <f>IF(I268&gt;0,130,0)</f>
        <v>130</v>
      </c>
      <c r="AC268" s="1"/>
      <c r="AD268" s="65">
        <f>(P268+U268)-AB268</f>
        <v>-130</v>
      </c>
      <c r="AE268" s="1"/>
      <c r="AF268" s="1">
        <f>IF(I268&gt;0,30*G268,0)</f>
        <v>0</v>
      </c>
      <c r="AG268" s="1">
        <f>IF(AH268&gt;0,AH144:AH268,0)</f>
        <v>0</v>
      </c>
      <c r="AH268" s="1">
        <f>AD268-AF268</f>
        <v>-130</v>
      </c>
      <c r="AJ268">
        <f>IF(T268=1,P268-U268,0)</f>
        <v>0</v>
      </c>
      <c r="AK268">
        <f>IF(T268=2,P268-U268,0)</f>
        <v>0</v>
      </c>
      <c r="AL268">
        <f>IF(T268=3,P268-U268,0)</f>
        <v>0</v>
      </c>
      <c r="AM268">
        <f>IF(T268=4,P268-U268,0)</f>
        <v>0</v>
      </c>
      <c r="AO268">
        <f>IF(T268=1,P268-U268,0)</f>
        <v>0</v>
      </c>
      <c r="AP268">
        <f>IF(T268=2,P268-U268,0)</f>
        <v>0</v>
      </c>
      <c r="AQ268">
        <f>IF(T268=3,P268-U268,0)</f>
        <v>0</v>
      </c>
      <c r="AR268">
        <f>IF(T268=4,P268-U268,0)</f>
        <v>0</v>
      </c>
    </row>
    <row r="269" spans="2:44" x14ac:dyDescent="0.25">
      <c r="B269" s="184" t="s">
        <v>904</v>
      </c>
      <c r="C269" s="8" t="s">
        <v>839</v>
      </c>
      <c r="D269" s="8"/>
      <c r="E269" t="s">
        <v>370</v>
      </c>
      <c r="F269">
        <v>0</v>
      </c>
      <c r="G269">
        <v>1</v>
      </c>
      <c r="H269" s="121" t="s">
        <v>960</v>
      </c>
      <c r="I269" s="121">
        <v>15</v>
      </c>
      <c r="K269" t="s">
        <v>526</v>
      </c>
      <c r="L269" t="s">
        <v>55</v>
      </c>
      <c r="N269" s="4" t="s">
        <v>36</v>
      </c>
      <c r="P269" s="86">
        <v>3600</v>
      </c>
      <c r="Q269" s="1">
        <f t="shared" si="208"/>
        <v>1440</v>
      </c>
      <c r="R269">
        <f t="shared" si="239"/>
        <v>2660</v>
      </c>
      <c r="S269" s="168" t="s">
        <v>905</v>
      </c>
      <c r="T269" s="61"/>
      <c r="U269" s="61">
        <f>IF(V269=$AE$2,47,IF(V269=$AE$1,ROUND(((P269+500)*0.039),0),IF(V269=$AE$3,0)))</f>
        <v>0</v>
      </c>
      <c r="V269" s="7" t="str">
        <f>IF(W269=1,$AE$2,IF(W269=2,$AE$1,IF(AND(W269&lt;&gt;1,W269&lt;&gt;20)=TRUE,$AE$3)))</f>
        <v>NONE</v>
      </c>
      <c r="W269" s="56"/>
      <c r="X269" s="5" t="s">
        <v>162</v>
      </c>
      <c r="Y269" s="61">
        <f t="shared" si="212"/>
        <v>4100</v>
      </c>
      <c r="Z269" s="61"/>
      <c r="AA269" s="1">
        <f>IF(X269=$AA$1,R269-500,0)</f>
        <v>0</v>
      </c>
      <c r="AB269" s="1">
        <f>IF(I269&gt;0,130,0)</f>
        <v>130</v>
      </c>
      <c r="AC269" s="1"/>
      <c r="AD269" s="65">
        <f>(P269+U269)-AB269</f>
        <v>3470</v>
      </c>
      <c r="AE269" s="1"/>
      <c r="AF269" s="1">
        <f>IF(I269&gt;0,30*G269,0)</f>
        <v>30</v>
      </c>
      <c r="AG269" s="1">
        <f>IF(AH269&gt;0,AH144:AH269,0)</f>
        <v>3440</v>
      </c>
      <c r="AH269" s="1">
        <f>AD269-AF269</f>
        <v>3440</v>
      </c>
      <c r="AJ269">
        <f>IF(T269=1,P269-U269,0)</f>
        <v>0</v>
      </c>
      <c r="AK269">
        <f>IF(T269=2,P269-U269,0)</f>
        <v>0</v>
      </c>
      <c r="AL269">
        <f>IF(T269=3,P269-U269,0)</f>
        <v>0</v>
      </c>
      <c r="AM269">
        <f>IF(T269=4,P269-U269,0)</f>
        <v>0</v>
      </c>
      <c r="AO269">
        <f>IF(T269=1,P269-U269,0)</f>
        <v>0</v>
      </c>
      <c r="AP269">
        <f>IF(T269=2,P269-U269,0)</f>
        <v>0</v>
      </c>
      <c r="AQ269">
        <f>IF(T269=3,P269-U269,0)</f>
        <v>0</v>
      </c>
      <c r="AR269">
        <f>IF(T269=4,P269-U269,0)</f>
        <v>0</v>
      </c>
    </row>
    <row r="270" spans="2:44" x14ac:dyDescent="0.25">
      <c r="B270" s="8" t="s">
        <v>964</v>
      </c>
      <c r="C270" t="s">
        <v>939</v>
      </c>
      <c r="E270" t="s">
        <v>370</v>
      </c>
      <c r="F270">
        <f>IF(E270=$B$12,I270,0)</f>
        <v>0</v>
      </c>
      <c r="G270">
        <f>IF(F270&gt;0,0,1)</f>
        <v>1</v>
      </c>
      <c r="H270" s="121" t="s">
        <v>940</v>
      </c>
      <c r="I270" s="121">
        <v>7</v>
      </c>
      <c r="K270" t="s">
        <v>434</v>
      </c>
      <c r="L270" t="s">
        <v>55</v>
      </c>
      <c r="N270" s="4" t="s">
        <v>36</v>
      </c>
      <c r="P270" s="86">
        <v>1792.94</v>
      </c>
      <c r="Q270" s="1">
        <v>951.86</v>
      </c>
      <c r="R270">
        <f t="shared" si="239"/>
        <v>1341.08</v>
      </c>
      <c r="S270" s="168" t="s">
        <v>941</v>
      </c>
      <c r="T270" s="61"/>
      <c r="U270" s="61">
        <f>IF(V270=$AE$2,47,IF(V270=$AE$1,ROUND(((P270+500)*0.039),0),IF(V270=$AE$3,0)))</f>
        <v>0</v>
      </c>
      <c r="V270" s="7" t="str">
        <f>IF(W270=1,$AE$2,IF(W270=2,$AE$1,IF(AND(W270&lt;&gt;1,W270&lt;&gt;20)=TRUE,$AE$3)))</f>
        <v>NONE</v>
      </c>
      <c r="W270" s="56"/>
      <c r="X270" s="5" t="s">
        <v>162</v>
      </c>
      <c r="Y270" s="185">
        <f t="shared" si="212"/>
        <v>2292.94</v>
      </c>
      <c r="Z270" s="61"/>
      <c r="AA270" s="1">
        <f>IF(X270=$AA$1,R270-500,0)</f>
        <v>0</v>
      </c>
      <c r="AB270" s="1">
        <f>IF(I270&gt;0,130,0)</f>
        <v>130</v>
      </c>
      <c r="AC270" s="1"/>
      <c r="AD270" s="65">
        <f>(P270+U270)-AB270</f>
        <v>1662.94</v>
      </c>
      <c r="AE270" s="1"/>
      <c r="AF270" s="1">
        <f>IF(I270&gt;0,30*G270,0)</f>
        <v>30</v>
      </c>
      <c r="AG270" s="1">
        <f>IF(AH270&gt;0,AH145:AH270,0)</f>
        <v>1632.94</v>
      </c>
      <c r="AH270" s="1">
        <f>AD270-AF270</f>
        <v>1632.94</v>
      </c>
      <c r="AJ270">
        <f>IF(T270=1,P270-U270,0)</f>
        <v>0</v>
      </c>
      <c r="AK270">
        <f>IF(T270=2,P270-U270,0)</f>
        <v>0</v>
      </c>
      <c r="AL270">
        <f>IF(T270=3,P270-U270,0)</f>
        <v>0</v>
      </c>
      <c r="AM270">
        <f>IF(T270=4,P270-U270,0)</f>
        <v>0</v>
      </c>
      <c r="AO270">
        <f>IF(T270=1,P270-U270,0)</f>
        <v>0</v>
      </c>
      <c r="AP270">
        <f>IF(T270=2,P270-U270,0)</f>
        <v>0</v>
      </c>
      <c r="AQ270">
        <f>IF(T270=3,P270-U270,0)</f>
        <v>0</v>
      </c>
      <c r="AR270">
        <f>IF(T270=4,P270-U270,0)</f>
        <v>0</v>
      </c>
    </row>
    <row r="271" spans="2:44" x14ac:dyDescent="0.25">
      <c r="B271" s="82" t="s">
        <v>82</v>
      </c>
      <c r="C271" s="8" t="s">
        <v>42</v>
      </c>
      <c r="D271" s="8"/>
      <c r="E271" t="s">
        <v>42</v>
      </c>
      <c r="F271">
        <f>IF(E271=$B$12,I271,0)</f>
        <v>8</v>
      </c>
      <c r="G271">
        <f>IF(F271&gt;0,0,1)</f>
        <v>0</v>
      </c>
      <c r="H271" s="83" t="s">
        <v>934</v>
      </c>
      <c r="I271" s="121">
        <v>8</v>
      </c>
      <c r="K271" t="s">
        <v>771</v>
      </c>
      <c r="L271" t="s">
        <v>55</v>
      </c>
      <c r="N271" s="4" t="s">
        <v>36</v>
      </c>
      <c r="P271" s="86">
        <v>0</v>
      </c>
      <c r="Q271" s="1">
        <f t="shared" si="208"/>
        <v>0</v>
      </c>
      <c r="R271">
        <f t="shared" si="239"/>
        <v>0</v>
      </c>
      <c r="S271" s="168"/>
      <c r="T271" s="61"/>
      <c r="U271" s="61">
        <f>IF(V271=$AE$2,47,IF(V271=$AE$1,ROUND(((P271+500)*0.039),0),IF(V271=$AE$3,0)))</f>
        <v>0</v>
      </c>
      <c r="V271" s="7" t="str">
        <f>IF(W271=1,$AE$2,IF(W271=2,$AE$1,IF(AND(W271&lt;&gt;1,W271&lt;&gt;20)=TRUE,$AE$3)))</f>
        <v>NONE</v>
      </c>
      <c r="W271" s="56"/>
      <c r="X271" s="5"/>
      <c r="Y271" s="61">
        <f t="shared" si="212"/>
        <v>0</v>
      </c>
      <c r="Z271" s="61"/>
      <c r="AA271" s="1">
        <f>IF(X271=$AA$1,R271-500,0)</f>
        <v>0</v>
      </c>
      <c r="AB271" s="1">
        <f>IF(I271&gt;0,130,0)</f>
        <v>130</v>
      </c>
      <c r="AC271" s="1"/>
      <c r="AD271" s="65">
        <f>(P271+U271)-AB271</f>
        <v>-130</v>
      </c>
      <c r="AE271" s="1"/>
      <c r="AF271" s="1">
        <f>IF(I271&gt;0,30*G271,0)</f>
        <v>0</v>
      </c>
      <c r="AG271" s="1">
        <f>IF(AH271&gt;0,AH146:AH271,0)</f>
        <v>0</v>
      </c>
      <c r="AH271" s="1">
        <f>AD271-AF271</f>
        <v>-130</v>
      </c>
      <c r="AJ271">
        <f>IF(T271=1,P271-U271,0)</f>
        <v>0</v>
      </c>
      <c r="AK271">
        <f>IF(T271=2,P271-U271,0)</f>
        <v>0</v>
      </c>
      <c r="AL271">
        <f>IF(T271=3,P271-U271,0)</f>
        <v>0</v>
      </c>
      <c r="AM271">
        <f>IF(T271=4,P271-U271,0)</f>
        <v>0</v>
      </c>
      <c r="AO271">
        <f>IF(T271=1,P271-U271,0)</f>
        <v>0</v>
      </c>
      <c r="AP271">
        <f>IF(T271=2,P271-U271,0)</f>
        <v>0</v>
      </c>
      <c r="AQ271">
        <f>IF(T271=3,P271-U271,0)</f>
        <v>0</v>
      </c>
      <c r="AR271">
        <f>IF(T271=4,P271-U271,0)</f>
        <v>0</v>
      </c>
    </row>
    <row r="272" spans="2:44" x14ac:dyDescent="0.25">
      <c r="F272">
        <f>IF(E272=$B$12,I272,0)</f>
        <v>0</v>
      </c>
      <c r="G272">
        <f>IF(F272&gt;0,0,1)</f>
        <v>1</v>
      </c>
      <c r="N272" s="4"/>
      <c r="P272" s="86">
        <v>0</v>
      </c>
      <c r="Q272" s="1">
        <f>ROUND((P272*0.4),0)</f>
        <v>0</v>
      </c>
      <c r="R272">
        <f>IF(P272&gt;0,((P272+500)-Q272)+U272,0)</f>
        <v>0</v>
      </c>
      <c r="S272" s="168"/>
      <c r="T272" s="61"/>
      <c r="U272" s="61">
        <f>IF(V272=$AE$2,47,IF(V272=$AE$1,ROUND(((P272+500)*0.039),0),IF(V272=$AE$3,0)))</f>
        <v>0</v>
      </c>
      <c r="V272" s="7" t="str">
        <f>IF(W272=1,$AE$2,IF(W272=2,$AE$1,IF(AND(W272&lt;&gt;1,W272&lt;&gt;20)=TRUE,$AE$3)))</f>
        <v>NONE</v>
      </c>
      <c r="W272" s="56"/>
      <c r="X272" s="5"/>
      <c r="Y272" s="61">
        <f>R272+Q272</f>
        <v>0</v>
      </c>
      <c r="Z272" s="61"/>
      <c r="AA272" s="1">
        <f>IF(X272=$AA$1,R272-500,0)</f>
        <v>0</v>
      </c>
      <c r="AB272" s="1">
        <f>IF(I272&gt;0,130,0)</f>
        <v>0</v>
      </c>
      <c r="AC272" s="1"/>
      <c r="AD272" s="65">
        <f>(P272+U272)-AB272</f>
        <v>0</v>
      </c>
      <c r="AE272" s="1"/>
      <c r="AF272" s="1">
        <f>IF(I272&gt;0,30*G272,0)</f>
        <v>0</v>
      </c>
      <c r="AG272" s="1">
        <f>IF(AH272&gt;0,AH144:AH272,0)</f>
        <v>0</v>
      </c>
      <c r="AH272" s="1">
        <f>AD272-AF272</f>
        <v>0</v>
      </c>
      <c r="AJ272">
        <f>IF(T272=1,P272-U272,0)</f>
        <v>0</v>
      </c>
      <c r="AK272">
        <f>IF(T272=2,P272-U272,0)</f>
        <v>0</v>
      </c>
      <c r="AL272">
        <f>IF(T272=3,P272-U272,0)</f>
        <v>0</v>
      </c>
      <c r="AM272">
        <f>IF(T272=4,P272-U272,0)</f>
        <v>0</v>
      </c>
      <c r="AO272">
        <f>IF(T272=1,P272-U272,0)</f>
        <v>0</v>
      </c>
      <c r="AP272">
        <f>IF(T272=2,P272-U272,0)</f>
        <v>0</v>
      </c>
      <c r="AQ272">
        <f>IF(T272=3,P272-U272,0)</f>
        <v>0</v>
      </c>
      <c r="AR272">
        <f>IF(T272=4,P272-U272,0)</f>
        <v>0</v>
      </c>
    </row>
    <row r="273" spans="1:45" x14ac:dyDescent="0.25">
      <c r="A273" s="40"/>
      <c r="B273" s="155">
        <f>COUNTIFS(E$226:E272,"&lt;&gt;NA")-COUNTIFS(E$226:E272,"="&amp;E1)</f>
        <v>23</v>
      </c>
      <c r="C273" s="140" t="s">
        <v>472</v>
      </c>
      <c r="D273" s="140"/>
      <c r="E273" s="40">
        <f>SUM(F226:F272)</f>
        <v>87</v>
      </c>
      <c r="F273" s="40"/>
      <c r="G273" s="40"/>
      <c r="H273" s="54" t="s">
        <v>215</v>
      </c>
      <c r="I273" s="53">
        <f>SUM(I225:I272)-SUM(F226:F272)</f>
        <v>202</v>
      </c>
      <c r="J273" s="53"/>
      <c r="K273" s="52">
        <f>ROUND(I273/7,0)</f>
        <v>29</v>
      </c>
      <c r="L273" s="52" t="s">
        <v>214</v>
      </c>
      <c r="M273" s="54" t="s">
        <v>216</v>
      </c>
      <c r="N273" s="123">
        <f>ROUND(AG273/K273,0)</f>
        <v>1711</v>
      </c>
      <c r="O273" s="40"/>
      <c r="P273" s="71">
        <f>SUM(P226:P272)</f>
        <v>52918.94</v>
      </c>
      <c r="Q273" s="43"/>
      <c r="R273" s="69">
        <f>AA273</f>
        <v>0</v>
      </c>
      <c r="S273" s="68" t="s">
        <v>254</v>
      </c>
      <c r="T273" s="101"/>
      <c r="U273" s="62"/>
      <c r="V273" s="42"/>
      <c r="W273" s="42"/>
      <c r="X273" s="41"/>
      <c r="Y273" s="43"/>
      <c r="Z273" s="43">
        <f>AA273</f>
        <v>0</v>
      </c>
      <c r="AA273" s="43">
        <f>SUM(AA226:AA272)</f>
        <v>0</v>
      </c>
      <c r="AB273" s="43">
        <f>SUM(AB226:AB272)</f>
        <v>4550</v>
      </c>
      <c r="AC273" s="43">
        <f>AB273</f>
        <v>4550</v>
      </c>
      <c r="AD273" s="40"/>
      <c r="AE273" s="43"/>
      <c r="AF273" s="43">
        <f>SUM(AF226:AF272)</f>
        <v>720</v>
      </c>
      <c r="AG273" s="43">
        <f>SUM(AG226:AG272)</f>
        <v>49609.94</v>
      </c>
      <c r="AH273" s="71">
        <f>SUM(AH226:AH272)</f>
        <v>48019.94</v>
      </c>
      <c r="AI273" s="40">
        <f>AH273</f>
        <v>48019.94</v>
      </c>
      <c r="AJ273" s="104">
        <f>SUM(AJ226:AJ272)</f>
        <v>0</v>
      </c>
      <c r="AK273" s="104">
        <f>SUM(AK226:AK272)</f>
        <v>0</v>
      </c>
      <c r="AL273" s="104">
        <f>SUM(AL226:AL272)</f>
        <v>0</v>
      </c>
      <c r="AM273" s="104">
        <f>SUM(AM226:AM272)</f>
        <v>0</v>
      </c>
      <c r="AN273" s="106">
        <f>SUM(AJ273:AM273)</f>
        <v>0</v>
      </c>
      <c r="AO273" s="104">
        <f>SUM(AO226:AO272)</f>
        <v>0</v>
      </c>
      <c r="AP273" s="104">
        <f>SUM(AP226:AP272)</f>
        <v>0</v>
      </c>
      <c r="AQ273" s="104">
        <f>SUM(AQ226:AQ272)</f>
        <v>0</v>
      </c>
      <c r="AR273" s="104">
        <f>SUM(AR226:AR272)</f>
        <v>0</v>
      </c>
      <c r="AS273" s="106">
        <f>SUM(AO273:AR273)</f>
        <v>0</v>
      </c>
    </row>
    <row r="274" spans="1:45" ht="21" customHeight="1" x14ac:dyDescent="0.35">
      <c r="A274" s="105"/>
      <c r="B274" s="122">
        <v>2017</v>
      </c>
      <c r="C274" s="107"/>
      <c r="D274" s="107"/>
      <c r="E274" s="105"/>
      <c r="F274" s="105"/>
      <c r="G274" s="105"/>
      <c r="H274" s="108"/>
      <c r="I274" s="109"/>
      <c r="J274" s="109"/>
      <c r="K274" s="110"/>
      <c r="L274" s="110"/>
      <c r="M274" s="108"/>
      <c r="N274" s="111"/>
      <c r="O274" s="105"/>
      <c r="P274" s="112"/>
      <c r="Q274" s="113"/>
      <c r="R274" s="114"/>
      <c r="S274" s="115"/>
      <c r="T274" s="116"/>
      <c r="U274" s="117"/>
      <c r="V274" s="118"/>
      <c r="W274" s="118"/>
      <c r="X274" s="119"/>
      <c r="Y274" s="113"/>
      <c r="Z274" s="113"/>
      <c r="AA274" s="113"/>
      <c r="AB274" s="113"/>
      <c r="AC274" s="113"/>
      <c r="AD274" s="105"/>
      <c r="AE274" s="113"/>
      <c r="AF274" s="113"/>
      <c r="AG274" s="113"/>
      <c r="AH274" s="112"/>
      <c r="AI274" s="105"/>
      <c r="AJ274" s="96">
        <f>ROUNDUP(AJ273*0.04,0)</f>
        <v>0</v>
      </c>
      <c r="AK274" s="96">
        <f>ROUNDUP(AK273*0.04,0)</f>
        <v>0</v>
      </c>
      <c r="AL274" s="96">
        <f>ROUNDUP(AL273*0.04,0)</f>
        <v>0</v>
      </c>
      <c r="AM274" s="96">
        <f>ROUNDUP(AM273*0.04,0)</f>
        <v>0</v>
      </c>
      <c r="AN274" s="106">
        <f>SUM(AJ274:AM274)</f>
        <v>0</v>
      </c>
      <c r="AO274" s="96">
        <f>ROUNDUP(AO273*0.06,0)</f>
        <v>0</v>
      </c>
      <c r="AP274" s="96">
        <f>ROUNDUP(AP273*0.06,0)</f>
        <v>0</v>
      </c>
      <c r="AQ274" s="96">
        <f>ROUNDUP(AQ273*0.06,0)</f>
        <v>0</v>
      </c>
      <c r="AR274" s="96">
        <f>ROUNDUP(AR273*0.06,0)</f>
        <v>0</v>
      </c>
      <c r="AS274" s="106">
        <f>SUM(AO274:AR274)</f>
        <v>0</v>
      </c>
    </row>
    <row r="275" spans="1:45" x14ac:dyDescent="0.25">
      <c r="B275" s="8"/>
      <c r="C275" s="8"/>
      <c r="D275" s="8"/>
      <c r="F275">
        <f>IF(E275=$B$12,I275,0)</f>
        <v>0</v>
      </c>
      <c r="G275">
        <f t="shared" ref="G275:G303" si="257">IF(F275&gt;0,0,1)</f>
        <v>1</v>
      </c>
      <c r="I275" s="121">
        <v>0</v>
      </c>
      <c r="L275" t="s">
        <v>55</v>
      </c>
      <c r="N275" s="4" t="s">
        <v>36</v>
      </c>
      <c r="P275" s="86">
        <v>0</v>
      </c>
      <c r="Q275" s="1">
        <f t="shared" ref="Q275:Q316" si="258">ROUND((P275*0.4),0)</f>
        <v>0</v>
      </c>
      <c r="R275">
        <f t="shared" ref="R275:R290" si="259">IF(P275&gt;0,((P275+500)-Q275)+U275,0)</f>
        <v>0</v>
      </c>
      <c r="S275" s="6"/>
      <c r="T275" s="61"/>
      <c r="U275" s="61">
        <f t="shared" ref="U275:U291" si="260">IF(V275=$AE$2,47,IF(V275=$AE$1,ROUND(((P275+500)*0.039),0),IF(V275=$AE$3,0)))</f>
        <v>0</v>
      </c>
      <c r="V275" s="7" t="str">
        <f t="shared" ref="V275:V303" si="261">IF(W275=1,$AE$2,IF(W275=2,$AE$1,IF(AND(W275&lt;&gt;1,W275&lt;&gt;20)=TRUE,$AE$3)))</f>
        <v>NONE</v>
      </c>
      <c r="W275" s="56"/>
      <c r="X275" s="5"/>
      <c r="Y275" s="61">
        <f t="shared" ref="Y275:Y316" si="262">R275+Q275</f>
        <v>0</v>
      </c>
      <c r="Z275" s="61"/>
      <c r="AA275" s="1">
        <f t="shared" ref="AA275:AA303" si="263">IF(X275=$AA$1,R275-500,0)</f>
        <v>0</v>
      </c>
      <c r="AB275" s="1">
        <f t="shared" ref="AB275:AB303" si="264">IF(I275&gt;0,130,0)</f>
        <v>0</v>
      </c>
      <c r="AC275" s="1"/>
      <c r="AD275" s="65">
        <f t="shared" ref="AD275:AD303" si="265">(P275+U275)-AB275</f>
        <v>0</v>
      </c>
      <c r="AE275" s="1"/>
      <c r="AF275" s="1">
        <f t="shared" ref="AF275:AF303" si="266">IF(I275&gt;0,30*G275,0)</f>
        <v>0</v>
      </c>
      <c r="AG275" s="1">
        <f>IF(AH275&gt;0,AH169:AH275,0)</f>
        <v>0</v>
      </c>
      <c r="AH275" s="1">
        <f t="shared" ref="AH275:AH280" si="267">AD275-AF275</f>
        <v>0</v>
      </c>
      <c r="AJ275">
        <f t="shared" ref="AJ275:AJ280" si="268">IF(T275=1,P275-U275,0)</f>
        <v>0</v>
      </c>
      <c r="AK275">
        <f t="shared" ref="AK275:AK280" si="269">IF(T275=2,P275-U275,0)</f>
        <v>0</v>
      </c>
      <c r="AL275">
        <f t="shared" ref="AL275:AL280" si="270">IF(T275=3,P275-U275,0)</f>
        <v>0</v>
      </c>
      <c r="AM275">
        <f t="shared" ref="AM275:AM280" si="271">IF(T275=4,P275-U275,0)</f>
        <v>0</v>
      </c>
      <c r="AO275">
        <f t="shared" ref="AO275:AO280" si="272">IF(T275=1,P275-U275,0)</f>
        <v>0</v>
      </c>
      <c r="AP275">
        <f t="shared" ref="AP275:AP280" si="273">IF(T275=2,P275-U275,0)</f>
        <v>0</v>
      </c>
      <c r="AQ275">
        <f t="shared" ref="AQ275:AQ280" si="274">IF(T275=3,P275-U275,0)</f>
        <v>0</v>
      </c>
      <c r="AR275">
        <f t="shared" ref="AR275:AR280" si="275">IF(T275=4,P275-U275,0)</f>
        <v>0</v>
      </c>
    </row>
    <row r="276" spans="1:45" ht="15.75" x14ac:dyDescent="0.25">
      <c r="B276" s="187" t="s">
        <v>943</v>
      </c>
      <c r="C276" t="s">
        <v>944</v>
      </c>
      <c r="E276" t="s">
        <v>370</v>
      </c>
      <c r="F276">
        <f>IF(E276=$B$12,I276,0)</f>
        <v>0</v>
      </c>
      <c r="G276">
        <f t="shared" si="257"/>
        <v>1</v>
      </c>
      <c r="H276" t="s">
        <v>942</v>
      </c>
      <c r="I276" s="121">
        <v>8</v>
      </c>
      <c r="K276" t="s">
        <v>945</v>
      </c>
      <c r="L276" t="s">
        <v>55</v>
      </c>
      <c r="N276" s="4" t="s">
        <v>36</v>
      </c>
      <c r="P276" s="86">
        <f>1230.65-106.6</f>
        <v>1124.0500000000002</v>
      </c>
      <c r="Q276" s="1">
        <v>562.03</v>
      </c>
      <c r="R276">
        <f>IF(P276&gt;0,((P276+500)-Q276)+U276,0)</f>
        <v>1062.0200000000002</v>
      </c>
      <c r="S276" s="6" t="s">
        <v>946</v>
      </c>
      <c r="T276" s="61"/>
      <c r="U276" s="61">
        <f t="shared" si="260"/>
        <v>0</v>
      </c>
      <c r="V276" s="7" t="str">
        <f t="shared" si="261"/>
        <v>NONE</v>
      </c>
      <c r="W276" s="56"/>
      <c r="X276" s="5" t="s">
        <v>25</v>
      </c>
      <c r="Y276" s="165">
        <f t="shared" si="262"/>
        <v>1624.0500000000002</v>
      </c>
      <c r="Z276" s="61"/>
      <c r="AA276" s="1">
        <f t="shared" si="263"/>
        <v>0</v>
      </c>
      <c r="AB276" s="1">
        <f t="shared" si="264"/>
        <v>130</v>
      </c>
      <c r="AC276" s="1"/>
      <c r="AD276" s="65">
        <f t="shared" si="265"/>
        <v>994.05000000000018</v>
      </c>
      <c r="AE276" s="1"/>
      <c r="AF276" s="1">
        <f t="shared" si="266"/>
        <v>30</v>
      </c>
      <c r="AG276" s="1">
        <f>IF(AH276&gt;0,AH153:AH276,0)</f>
        <v>964.05000000000018</v>
      </c>
      <c r="AH276" s="1">
        <f t="shared" si="267"/>
        <v>964.05000000000018</v>
      </c>
      <c r="AJ276">
        <f t="shared" si="268"/>
        <v>0</v>
      </c>
      <c r="AK276">
        <f t="shared" si="269"/>
        <v>0</v>
      </c>
      <c r="AL276">
        <f t="shared" si="270"/>
        <v>0</v>
      </c>
      <c r="AM276">
        <f t="shared" si="271"/>
        <v>0</v>
      </c>
      <c r="AO276">
        <f t="shared" si="272"/>
        <v>0</v>
      </c>
      <c r="AP276">
        <f t="shared" si="273"/>
        <v>0</v>
      </c>
      <c r="AQ276">
        <f t="shared" si="274"/>
        <v>0</v>
      </c>
      <c r="AR276">
        <f t="shared" si="275"/>
        <v>0</v>
      </c>
    </row>
    <row r="277" spans="1:45" x14ac:dyDescent="0.25">
      <c r="B277" s="8"/>
      <c r="C277" s="8"/>
      <c r="D277" s="8"/>
      <c r="F277">
        <f>IF(E277=$B$12,I277,0)</f>
        <v>0</v>
      </c>
      <c r="G277">
        <f t="shared" si="257"/>
        <v>1</v>
      </c>
      <c r="H277" s="121"/>
      <c r="I277" s="121">
        <v>0</v>
      </c>
      <c r="L277" t="s">
        <v>55</v>
      </c>
      <c r="N277" s="4" t="s">
        <v>36</v>
      </c>
      <c r="P277" s="86">
        <v>0</v>
      </c>
      <c r="Q277" s="1">
        <f t="shared" si="258"/>
        <v>0</v>
      </c>
      <c r="R277">
        <f t="shared" si="259"/>
        <v>0</v>
      </c>
      <c r="S277" s="6"/>
      <c r="T277" s="61"/>
      <c r="U277" s="61">
        <f t="shared" si="260"/>
        <v>0</v>
      </c>
      <c r="V277" s="7" t="str">
        <f t="shared" si="261"/>
        <v>NONE</v>
      </c>
      <c r="W277" s="56"/>
      <c r="X277" s="5"/>
      <c r="Y277" s="61">
        <f t="shared" si="262"/>
        <v>0</v>
      </c>
      <c r="Z277" s="61"/>
      <c r="AA277" s="1">
        <f t="shared" si="263"/>
        <v>0</v>
      </c>
      <c r="AB277" s="1">
        <f t="shared" si="264"/>
        <v>0</v>
      </c>
      <c r="AC277" s="1"/>
      <c r="AD277" s="65">
        <f t="shared" si="265"/>
        <v>0</v>
      </c>
      <c r="AE277" s="1"/>
      <c r="AF277" s="1">
        <f t="shared" si="266"/>
        <v>0</v>
      </c>
      <c r="AG277" s="1">
        <f>IF(AH277&gt;0,AH154:AH290,0)</f>
        <v>0</v>
      </c>
      <c r="AH277" s="1">
        <f t="shared" si="267"/>
        <v>0</v>
      </c>
      <c r="AJ277">
        <f t="shared" si="268"/>
        <v>0</v>
      </c>
      <c r="AK277">
        <f t="shared" si="269"/>
        <v>0</v>
      </c>
      <c r="AL277">
        <f t="shared" si="270"/>
        <v>0</v>
      </c>
      <c r="AM277">
        <f t="shared" si="271"/>
        <v>0</v>
      </c>
      <c r="AO277">
        <f t="shared" si="272"/>
        <v>0</v>
      </c>
      <c r="AP277">
        <f t="shared" si="273"/>
        <v>0</v>
      </c>
      <c r="AQ277">
        <f t="shared" si="274"/>
        <v>0</v>
      </c>
      <c r="AR277">
        <f t="shared" si="275"/>
        <v>0</v>
      </c>
    </row>
    <row r="278" spans="1:45" x14ac:dyDescent="0.25">
      <c r="B278" s="82" t="s">
        <v>82</v>
      </c>
      <c r="C278" s="8" t="s">
        <v>42</v>
      </c>
      <c r="D278" s="8"/>
      <c r="E278" t="s">
        <v>42</v>
      </c>
      <c r="F278">
        <f>IF(E278=$B$12,I278,0)</f>
        <v>3</v>
      </c>
      <c r="G278">
        <f t="shared" si="257"/>
        <v>0</v>
      </c>
      <c r="H278" t="s">
        <v>923</v>
      </c>
      <c r="I278" s="121">
        <v>3</v>
      </c>
      <c r="L278" t="s">
        <v>55</v>
      </c>
      <c r="N278" s="4" t="s">
        <v>36</v>
      </c>
      <c r="P278" s="86">
        <v>0</v>
      </c>
      <c r="Q278" s="1">
        <f t="shared" si="258"/>
        <v>0</v>
      </c>
      <c r="R278">
        <f t="shared" si="259"/>
        <v>0</v>
      </c>
      <c r="S278" s="6"/>
      <c r="T278" s="61"/>
      <c r="U278" s="61">
        <f t="shared" si="260"/>
        <v>0</v>
      </c>
      <c r="V278" s="7" t="str">
        <f t="shared" si="261"/>
        <v>NONE</v>
      </c>
      <c r="W278" s="56"/>
      <c r="X278" s="5"/>
      <c r="Y278" s="61">
        <f t="shared" si="262"/>
        <v>0</v>
      </c>
      <c r="Z278" s="61"/>
      <c r="AA278" s="1">
        <f t="shared" si="263"/>
        <v>0</v>
      </c>
      <c r="AB278" s="1">
        <f t="shared" si="264"/>
        <v>130</v>
      </c>
      <c r="AC278" s="1"/>
      <c r="AD278" s="65">
        <f t="shared" si="265"/>
        <v>-130</v>
      </c>
      <c r="AE278" s="1"/>
      <c r="AF278" s="1">
        <f t="shared" si="266"/>
        <v>0</v>
      </c>
      <c r="AG278" s="1">
        <f>IF(AH278&gt;0,AH155:AH278,0)</f>
        <v>0</v>
      </c>
      <c r="AH278" s="1">
        <f t="shared" si="267"/>
        <v>-130</v>
      </c>
      <c r="AJ278">
        <f t="shared" si="268"/>
        <v>0</v>
      </c>
      <c r="AK278">
        <f t="shared" si="269"/>
        <v>0</v>
      </c>
      <c r="AL278">
        <f t="shared" si="270"/>
        <v>0</v>
      </c>
      <c r="AM278">
        <f t="shared" si="271"/>
        <v>0</v>
      </c>
      <c r="AO278">
        <f t="shared" si="272"/>
        <v>0</v>
      </c>
      <c r="AP278">
        <f t="shared" si="273"/>
        <v>0</v>
      </c>
      <c r="AQ278">
        <f t="shared" si="274"/>
        <v>0</v>
      </c>
      <c r="AR278">
        <f t="shared" si="275"/>
        <v>0</v>
      </c>
    </row>
    <row r="279" spans="1:45" x14ac:dyDescent="0.25">
      <c r="B279" s="8" t="s">
        <v>867</v>
      </c>
      <c r="C279" t="s">
        <v>866</v>
      </c>
      <c r="E279" t="s">
        <v>822</v>
      </c>
      <c r="F279">
        <f>IF(E224=$B$12,I279,0)</f>
        <v>0</v>
      </c>
      <c r="G279">
        <f t="shared" si="257"/>
        <v>1</v>
      </c>
      <c r="H279" s="121" t="s">
        <v>963</v>
      </c>
      <c r="I279" s="121">
        <v>31</v>
      </c>
      <c r="K279" t="s">
        <v>777</v>
      </c>
      <c r="L279" t="s">
        <v>55</v>
      </c>
      <c r="M279" s="152" t="s">
        <v>869</v>
      </c>
      <c r="N279" s="4" t="s">
        <v>36</v>
      </c>
      <c r="P279" s="86">
        <f>8989-300</f>
        <v>8689</v>
      </c>
      <c r="Q279" s="1">
        <f t="shared" si="258"/>
        <v>3476</v>
      </c>
      <c r="R279">
        <f t="shared" si="259"/>
        <v>5713</v>
      </c>
      <c r="S279" s="6" t="s">
        <v>868</v>
      </c>
      <c r="T279" s="61"/>
      <c r="U279" s="61">
        <f t="shared" si="260"/>
        <v>0</v>
      </c>
      <c r="V279" s="7" t="str">
        <f t="shared" si="261"/>
        <v>NONE</v>
      </c>
      <c r="W279" s="56"/>
      <c r="X279" s="5" t="s">
        <v>981</v>
      </c>
      <c r="Y279" s="61">
        <f t="shared" si="262"/>
        <v>9189</v>
      </c>
      <c r="Z279" s="61"/>
      <c r="AA279" s="1">
        <f t="shared" si="263"/>
        <v>0</v>
      </c>
      <c r="AB279" s="1">
        <f t="shared" si="264"/>
        <v>130</v>
      </c>
      <c r="AC279" s="1"/>
      <c r="AD279" s="65">
        <f t="shared" si="265"/>
        <v>8559</v>
      </c>
      <c r="AE279" s="1"/>
      <c r="AF279" s="1">
        <f t="shared" si="266"/>
        <v>30</v>
      </c>
      <c r="AG279" s="1">
        <f>IF(AH279&gt;0,AH157:AH279,0)</f>
        <v>8529</v>
      </c>
      <c r="AH279" s="1">
        <f t="shared" si="267"/>
        <v>8529</v>
      </c>
      <c r="AJ279">
        <f t="shared" si="268"/>
        <v>0</v>
      </c>
      <c r="AK279">
        <f t="shared" si="269"/>
        <v>0</v>
      </c>
      <c r="AL279">
        <f t="shared" si="270"/>
        <v>0</v>
      </c>
      <c r="AM279">
        <f t="shared" si="271"/>
        <v>0</v>
      </c>
      <c r="AO279">
        <f t="shared" si="272"/>
        <v>0</v>
      </c>
      <c r="AP279">
        <f t="shared" si="273"/>
        <v>0</v>
      </c>
      <c r="AQ279">
        <f t="shared" si="274"/>
        <v>0</v>
      </c>
      <c r="AR279">
        <f t="shared" si="275"/>
        <v>0</v>
      </c>
    </row>
    <row r="280" spans="1:45" x14ac:dyDescent="0.25">
      <c r="B280" s="121"/>
      <c r="F280">
        <f t="shared" ref="F280:F303" si="276">IF(E280=$B$12,I280,0)</f>
        <v>0</v>
      </c>
      <c r="G280">
        <f t="shared" si="257"/>
        <v>1</v>
      </c>
      <c r="H280" s="121"/>
      <c r="I280" s="121">
        <v>0</v>
      </c>
      <c r="L280" t="s">
        <v>55</v>
      </c>
      <c r="N280" s="4" t="s">
        <v>36</v>
      </c>
      <c r="P280" s="86">
        <v>0</v>
      </c>
      <c r="Q280" s="1">
        <f t="shared" si="258"/>
        <v>0</v>
      </c>
      <c r="R280">
        <f t="shared" si="259"/>
        <v>0</v>
      </c>
      <c r="S280" s="6"/>
      <c r="T280" s="61"/>
      <c r="U280" s="61">
        <f t="shared" si="260"/>
        <v>0</v>
      </c>
      <c r="V280" s="7" t="str">
        <f t="shared" si="261"/>
        <v>NONE</v>
      </c>
      <c r="W280" s="56"/>
      <c r="X280" s="5"/>
      <c r="Y280" s="61">
        <f t="shared" si="262"/>
        <v>0</v>
      </c>
      <c r="Z280" s="61"/>
      <c r="AA280" s="1">
        <f t="shared" si="263"/>
        <v>0</v>
      </c>
      <c r="AB280" s="1">
        <f t="shared" si="264"/>
        <v>0</v>
      </c>
      <c r="AC280" s="1"/>
      <c r="AD280" s="65">
        <f t="shared" si="265"/>
        <v>0</v>
      </c>
      <c r="AE280" s="1"/>
      <c r="AF280" s="1">
        <f t="shared" si="266"/>
        <v>0</v>
      </c>
      <c r="AG280" s="1">
        <f>IF(AH280&gt;0,AH165:AH280,0)</f>
        <v>0</v>
      </c>
      <c r="AH280" s="1">
        <f t="shared" si="267"/>
        <v>0</v>
      </c>
      <c r="AJ280">
        <f t="shared" si="268"/>
        <v>0</v>
      </c>
      <c r="AK280">
        <f t="shared" si="269"/>
        <v>0</v>
      </c>
      <c r="AL280">
        <f t="shared" si="270"/>
        <v>0</v>
      </c>
      <c r="AM280">
        <f t="shared" si="271"/>
        <v>0</v>
      </c>
      <c r="AO280">
        <f t="shared" si="272"/>
        <v>0</v>
      </c>
      <c r="AP280">
        <f t="shared" si="273"/>
        <v>0</v>
      </c>
      <c r="AQ280">
        <f t="shared" si="274"/>
        <v>0</v>
      </c>
      <c r="AR280">
        <f t="shared" si="275"/>
        <v>0</v>
      </c>
    </row>
    <row r="281" spans="1:45" x14ac:dyDescent="0.25">
      <c r="B281" s="82" t="s">
        <v>82</v>
      </c>
      <c r="C281" s="8" t="s">
        <v>42</v>
      </c>
      <c r="D281" s="8"/>
      <c r="E281" t="s">
        <v>42</v>
      </c>
      <c r="F281">
        <f t="shared" si="276"/>
        <v>9</v>
      </c>
      <c r="G281">
        <f t="shared" si="257"/>
        <v>0</v>
      </c>
      <c r="H281" t="s">
        <v>791</v>
      </c>
      <c r="I281" s="121">
        <v>9</v>
      </c>
      <c r="L281" t="s">
        <v>55</v>
      </c>
      <c r="N281" s="4" t="s">
        <v>36</v>
      </c>
      <c r="P281" s="86">
        <v>0</v>
      </c>
      <c r="Q281" s="1">
        <f t="shared" si="258"/>
        <v>0</v>
      </c>
      <c r="R281">
        <f t="shared" si="259"/>
        <v>0</v>
      </c>
      <c r="S281" s="6"/>
      <c r="T281" s="61"/>
      <c r="U281" s="61">
        <f t="shared" si="260"/>
        <v>0</v>
      </c>
      <c r="V281" s="7" t="str">
        <f t="shared" si="261"/>
        <v>NONE</v>
      </c>
      <c r="W281" s="56"/>
      <c r="X281" s="5"/>
      <c r="Y281" s="61">
        <f t="shared" si="262"/>
        <v>0</v>
      </c>
      <c r="Z281" s="61"/>
      <c r="AA281" s="1">
        <f t="shared" si="263"/>
        <v>0</v>
      </c>
      <c r="AB281" s="1">
        <f t="shared" si="264"/>
        <v>130</v>
      </c>
      <c r="AC281" s="1"/>
      <c r="AD281" s="65">
        <f t="shared" si="265"/>
        <v>-130</v>
      </c>
      <c r="AE281" s="1"/>
      <c r="AF281" s="1">
        <f t="shared" si="266"/>
        <v>0</v>
      </c>
      <c r="AG281" s="1">
        <f>IF(AH281&gt;0,AH144:AH281,0)</f>
        <v>0</v>
      </c>
      <c r="AH281" s="1">
        <f>AD281-AF281</f>
        <v>-130</v>
      </c>
      <c r="AJ281">
        <f>IF(T281=1,P281-U281,0)</f>
        <v>0</v>
      </c>
      <c r="AK281">
        <f>IF(T281=2,P281-U281,0)</f>
        <v>0</v>
      </c>
      <c r="AL281">
        <f>IF(T281=3,P281-U281,0)</f>
        <v>0</v>
      </c>
      <c r="AM281">
        <f>IF(T281=4,P281-U281,0)</f>
        <v>0</v>
      </c>
      <c r="AO281">
        <f>IF(T281=1,P281-U281,0)</f>
        <v>0</v>
      </c>
      <c r="AP281">
        <f>IF(T281=2,P281-U281,0)</f>
        <v>0</v>
      </c>
      <c r="AQ281">
        <f>IF(T281=3,P281-U281,0)</f>
        <v>0</v>
      </c>
      <c r="AR281">
        <f>IF(T281=4,P281-U281,0)</f>
        <v>0</v>
      </c>
    </row>
    <row r="282" spans="1:45" ht="15.75" x14ac:dyDescent="0.25">
      <c r="B282" s="8" t="s">
        <v>870</v>
      </c>
      <c r="C282" t="s">
        <v>641</v>
      </c>
      <c r="E282" t="s">
        <v>616</v>
      </c>
      <c r="F282">
        <f>IF(E282=$B$12,I282,0)</f>
        <v>0</v>
      </c>
      <c r="G282">
        <f>IF(F282&gt;0,0,1)</f>
        <v>1</v>
      </c>
      <c r="H282" s="51" t="s">
        <v>892</v>
      </c>
      <c r="I282" s="121">
        <v>21</v>
      </c>
      <c r="J282" s="48"/>
      <c r="K282" t="s">
        <v>799</v>
      </c>
      <c r="L282" t="s">
        <v>55</v>
      </c>
      <c r="M282" s="51"/>
      <c r="N282" s="4" t="s">
        <v>36</v>
      </c>
      <c r="P282" s="86">
        <f>5990</f>
        <v>5990</v>
      </c>
      <c r="Q282" s="1">
        <v>2117</v>
      </c>
      <c r="R282">
        <v>3373</v>
      </c>
      <c r="S282" s="186" t="s">
        <v>961</v>
      </c>
      <c r="T282" s="61"/>
      <c r="U282" s="61">
        <f t="shared" si="260"/>
        <v>253</v>
      </c>
      <c r="V282" s="7" t="str">
        <f>IF(W282=1,$AE$2,IF(W282=2,$AE$1,IF(AND(W282&lt;&gt;1,W282&lt;&gt;20)=TRUE,$AE$3)))</f>
        <v>PAYPAL</v>
      </c>
      <c r="W282" s="56">
        <v>2</v>
      </c>
      <c r="X282" s="5" t="s">
        <v>962</v>
      </c>
      <c r="Y282" s="61">
        <f>R282+Q282</f>
        <v>5490</v>
      </c>
      <c r="Z282" s="61"/>
      <c r="AA282" s="1">
        <f>IF(X282=$AA$1,R282-500,0)</f>
        <v>0</v>
      </c>
      <c r="AB282" s="1">
        <f>IF(I282&gt;0,130,0)</f>
        <v>130</v>
      </c>
      <c r="AC282" s="1"/>
      <c r="AD282" s="65">
        <f>(P282+U282)-AB282</f>
        <v>6113</v>
      </c>
      <c r="AE282" s="1"/>
      <c r="AF282" s="1">
        <f>IF(I282&gt;0,30*G282,0)</f>
        <v>30</v>
      </c>
      <c r="AG282" s="1">
        <f>IF(AH282&gt;0,AH167:AH282,0)</f>
        <v>6083</v>
      </c>
      <c r="AH282" s="1">
        <f>AD282-AF282</f>
        <v>6083</v>
      </c>
      <c r="AJ282">
        <f>IF(T282=1,P282-U282,0)</f>
        <v>0</v>
      </c>
      <c r="AK282">
        <f>IF(T282=2,P282-U282,0)</f>
        <v>0</v>
      </c>
      <c r="AL282">
        <f>IF(T282=3,P282-U282,0)</f>
        <v>0</v>
      </c>
      <c r="AM282">
        <f>IF(T282=4,P282-U282,0)</f>
        <v>0</v>
      </c>
      <c r="AO282">
        <f>IF(T282=1,P282-U282,0)</f>
        <v>0</v>
      </c>
      <c r="AP282">
        <f>IF(T282=2,P282-U282,0)</f>
        <v>0</v>
      </c>
      <c r="AQ282">
        <f>IF(T282=3,P282-U282,0)</f>
        <v>0</v>
      </c>
      <c r="AR282">
        <f>IF(T282=4,P282-U282,0)</f>
        <v>0</v>
      </c>
    </row>
    <row r="283" spans="1:45" x14ac:dyDescent="0.25">
      <c r="B283" s="8" t="s">
        <v>987</v>
      </c>
      <c r="C283" t="s">
        <v>986</v>
      </c>
      <c r="E283" t="s">
        <v>370</v>
      </c>
      <c r="F283">
        <f>IF(E283=$B$12,I283,0)</f>
        <v>0</v>
      </c>
      <c r="G283">
        <f>IF(F283&gt;0,0,1)</f>
        <v>1</v>
      </c>
      <c r="H283" t="s">
        <v>984</v>
      </c>
      <c r="I283" s="121">
        <v>4</v>
      </c>
      <c r="K283" t="s">
        <v>985</v>
      </c>
      <c r="L283" t="s">
        <v>55</v>
      </c>
      <c r="N283" s="4" t="s">
        <v>36</v>
      </c>
      <c r="P283" s="86">
        <v>1965.75</v>
      </c>
      <c r="Q283" s="1">
        <f>ROUND((P283*0.5),0)</f>
        <v>983</v>
      </c>
      <c r="R283">
        <f>IF(P283&gt;0,((P283+500)-Q283)+U283,0)</f>
        <v>1482.75</v>
      </c>
      <c r="S283" s="6"/>
      <c r="T283" s="61"/>
      <c r="U283" s="61">
        <f>IF(V283=$AE$2,47,IF(V283=$AE$1,ROUND(((P283+500)*0.039),0),IF(V283=$AE$3,0)))</f>
        <v>0</v>
      </c>
      <c r="V283" s="7" t="str">
        <f>IF(W283=1,$AE$2,IF(W283=2,$AE$1,IF(AND(W283&lt;&gt;1,W283&lt;&gt;20)=TRUE,$AE$3)))</f>
        <v>NONE</v>
      </c>
      <c r="W283" s="56"/>
      <c r="X283" s="5" t="s">
        <v>171</v>
      </c>
      <c r="Y283" s="61">
        <f>R283+Q283</f>
        <v>2465.75</v>
      </c>
      <c r="Z283" s="61"/>
      <c r="AA283" s="1">
        <f>IF(X283=$AA$1,R283-500,0)</f>
        <v>0</v>
      </c>
      <c r="AB283" s="1">
        <f>IF(I283&gt;0,130,0)</f>
        <v>130</v>
      </c>
      <c r="AC283" s="1"/>
      <c r="AD283" s="65">
        <f>(P283+U283)-AB283</f>
        <v>1835.75</v>
      </c>
      <c r="AE283" s="1"/>
      <c r="AF283" s="1">
        <f>IF(I283&gt;0,30*G283,0)</f>
        <v>30</v>
      </c>
      <c r="AG283" s="1">
        <f>IF(AH283&gt;0,AH160:AH305,0)</f>
        <v>1805.75</v>
      </c>
      <c r="AH283" s="1">
        <f>AD283-AF283</f>
        <v>1805.75</v>
      </c>
      <c r="AJ283">
        <f>IF(T283=1,P283-U283,0)</f>
        <v>0</v>
      </c>
      <c r="AK283">
        <f>IF(T283=2,P283-U283,0)</f>
        <v>0</v>
      </c>
      <c r="AL283">
        <f>IF(T283=3,P283-U283,0)</f>
        <v>0</v>
      </c>
      <c r="AM283">
        <f>IF(T283=4,P283-U283,0)</f>
        <v>0</v>
      </c>
      <c r="AO283">
        <f>IF(T283=1,P283-U283,0)</f>
        <v>0</v>
      </c>
      <c r="AP283">
        <f>IF(T283=2,P283-U283,0)</f>
        <v>0</v>
      </c>
      <c r="AQ283">
        <f>IF(T283=3,P283-U283,0)</f>
        <v>0</v>
      </c>
      <c r="AR283">
        <f>IF(T283=4,P283-U283,0)</f>
        <v>0</v>
      </c>
    </row>
    <row r="284" spans="1:45" x14ac:dyDescent="0.25">
      <c r="B284" s="82" t="s">
        <v>82</v>
      </c>
      <c r="C284" s="8" t="s">
        <v>42</v>
      </c>
      <c r="D284" s="8"/>
      <c r="E284" t="s">
        <v>42</v>
      </c>
      <c r="F284">
        <f t="shared" si="276"/>
        <v>2</v>
      </c>
      <c r="G284">
        <f t="shared" si="257"/>
        <v>0</v>
      </c>
      <c r="H284" t="s">
        <v>891</v>
      </c>
      <c r="I284" s="121">
        <v>2</v>
      </c>
      <c r="L284" t="s">
        <v>55</v>
      </c>
      <c r="N284" s="4" t="s">
        <v>36</v>
      </c>
      <c r="P284" s="86">
        <v>0</v>
      </c>
      <c r="Q284" s="1">
        <f t="shared" si="258"/>
        <v>0</v>
      </c>
      <c r="R284">
        <f t="shared" si="259"/>
        <v>0</v>
      </c>
      <c r="S284" s="6"/>
      <c r="T284" s="61"/>
      <c r="U284" s="61">
        <f t="shared" si="260"/>
        <v>0</v>
      </c>
      <c r="V284" s="7" t="str">
        <f t="shared" si="261"/>
        <v>NONE</v>
      </c>
      <c r="W284" s="56"/>
      <c r="X284" s="5"/>
      <c r="Y284" s="61">
        <f t="shared" si="262"/>
        <v>0</v>
      </c>
      <c r="Z284" s="61"/>
      <c r="AA284" s="1">
        <f t="shared" si="263"/>
        <v>0</v>
      </c>
      <c r="AB284" s="1">
        <f t="shared" si="264"/>
        <v>130</v>
      </c>
      <c r="AC284" s="1"/>
      <c r="AD284" s="65">
        <f t="shared" si="265"/>
        <v>-130</v>
      </c>
      <c r="AE284" s="1"/>
      <c r="AF284" s="1">
        <f t="shared" si="266"/>
        <v>0</v>
      </c>
      <c r="AG284" s="1">
        <f>IF(AH284&gt;0,AH161:AH307,0)</f>
        <v>0</v>
      </c>
      <c r="AH284" s="1">
        <f>AD284-AF284</f>
        <v>-130</v>
      </c>
      <c r="AJ284">
        <f>IF(T284=1,P284-U284,0)</f>
        <v>0</v>
      </c>
      <c r="AK284">
        <f>IF(T284=2,P284-U284,0)</f>
        <v>0</v>
      </c>
      <c r="AL284">
        <f>IF(T284=3,P284-U284,0)</f>
        <v>0</v>
      </c>
      <c r="AM284">
        <f>IF(T284=4,P284-U284,0)</f>
        <v>0</v>
      </c>
      <c r="AO284">
        <f>IF(T284=1,P284-U284,0)</f>
        <v>0</v>
      </c>
      <c r="AP284">
        <f>IF(T284=2,P284-U284,0)</f>
        <v>0</v>
      </c>
      <c r="AQ284">
        <f>IF(T284=3,P284-U284,0)</f>
        <v>0</v>
      </c>
      <c r="AR284">
        <f>IF(T284=4,P284-U284,0)</f>
        <v>0</v>
      </c>
    </row>
    <row r="285" spans="1:45" x14ac:dyDescent="0.25">
      <c r="B285" s="8" t="s">
        <v>897</v>
      </c>
      <c r="C285" t="s">
        <v>898</v>
      </c>
      <c r="E285" t="s">
        <v>899</v>
      </c>
      <c r="F285">
        <f>IF(E285=$B$12,I285,0)</f>
        <v>0</v>
      </c>
      <c r="G285">
        <f>IF(F285&gt;0,0,1)</f>
        <v>1</v>
      </c>
      <c r="H285" s="51" t="s">
        <v>900</v>
      </c>
      <c r="I285" s="121">
        <v>7</v>
      </c>
      <c r="J285" s="48"/>
      <c r="K285" s="96" t="s">
        <v>901</v>
      </c>
      <c r="L285" t="s">
        <v>55</v>
      </c>
      <c r="M285" s="180" t="s">
        <v>902</v>
      </c>
      <c r="N285" s="4" t="s">
        <v>36</v>
      </c>
      <c r="P285" s="86">
        <v>2694</v>
      </c>
      <c r="Q285" s="1">
        <f>ROUND((P285*0.4),0)</f>
        <v>1078</v>
      </c>
      <c r="R285">
        <f>IF(P285&gt;0,((P285+500)-Q285)+U285,0)</f>
        <v>2116</v>
      </c>
      <c r="S285" s="6" t="s">
        <v>903</v>
      </c>
      <c r="T285" s="61"/>
      <c r="U285" s="61">
        <f>IF(V285=$AE$2,47,IF(V285=$AE$1,ROUND(((P285+500)*0.039),0),IF(V285=$AE$3,0)))</f>
        <v>0</v>
      </c>
      <c r="V285" s="7" t="str">
        <f>IF(W285=1,$AE$2,IF(W285=2,$AE$1,IF(AND(W285&lt;&gt;1,W285&lt;&gt;20)=TRUE,$AE$3)))</f>
        <v>NONE</v>
      </c>
      <c r="W285" s="56"/>
      <c r="X285" s="5" t="s">
        <v>25</v>
      </c>
      <c r="Y285" s="61">
        <f>R285+Q285</f>
        <v>3194</v>
      </c>
      <c r="Z285" s="61"/>
      <c r="AA285" s="1">
        <f>IF(X285=$AA$1,R285-500,0)</f>
        <v>0</v>
      </c>
      <c r="AB285" s="1">
        <f>IF(I285&gt;0,130,0)</f>
        <v>130</v>
      </c>
      <c r="AC285" s="1"/>
      <c r="AD285" s="65">
        <f>(P285+U285)-AB285</f>
        <v>2564</v>
      </c>
      <c r="AE285" s="1"/>
      <c r="AF285" s="1">
        <f>IF(I285&gt;0,30*G285,0)</f>
        <v>30</v>
      </c>
      <c r="AG285" s="1">
        <f>IF(AH285&gt;0,AH168:AH285,0)</f>
        <v>2534</v>
      </c>
      <c r="AH285" s="1">
        <f>AD285-AF285</f>
        <v>2534</v>
      </c>
      <c r="AJ285">
        <f>IF(T285=1,P285-U285,0)</f>
        <v>0</v>
      </c>
      <c r="AK285">
        <f>IF(T285=2,P285-U285,0)</f>
        <v>0</v>
      </c>
      <c r="AL285">
        <f>IF(T285=3,P285-U285,0)</f>
        <v>0</v>
      </c>
      <c r="AM285">
        <f>IF(T285=4,P285-U285,0)</f>
        <v>0</v>
      </c>
      <c r="AO285">
        <f>IF(T285=1,P285-U285,0)</f>
        <v>0</v>
      </c>
      <c r="AP285">
        <f>IF(T285=2,P285-U285,0)</f>
        <v>0</v>
      </c>
      <c r="AQ285">
        <f>IF(T285=3,P285-U285,0)</f>
        <v>0</v>
      </c>
      <c r="AR285">
        <f>IF(T285=4,P285-U285,0)</f>
        <v>0</v>
      </c>
    </row>
    <row r="286" spans="1:45" x14ac:dyDescent="0.25">
      <c r="B286" t="s">
        <v>975</v>
      </c>
      <c r="C286" t="s">
        <v>973</v>
      </c>
      <c r="E286" t="s">
        <v>885</v>
      </c>
      <c r="F286">
        <f t="shared" si="276"/>
        <v>0</v>
      </c>
      <c r="G286">
        <f t="shared" si="257"/>
        <v>1</v>
      </c>
      <c r="H286" s="51" t="s">
        <v>972</v>
      </c>
      <c r="I286" s="121">
        <v>4</v>
      </c>
      <c r="J286" s="48"/>
      <c r="K286" t="s">
        <v>143</v>
      </c>
      <c r="L286" t="s">
        <v>55</v>
      </c>
      <c r="M286" s="78" t="s">
        <v>974</v>
      </c>
      <c r="N286" s="4" t="s">
        <v>36</v>
      </c>
      <c r="P286" s="86">
        <v>1312</v>
      </c>
      <c r="Q286" s="1">
        <f t="shared" si="258"/>
        <v>525</v>
      </c>
      <c r="R286">
        <f t="shared" si="259"/>
        <v>1287</v>
      </c>
      <c r="S286" s="196" t="s">
        <v>156</v>
      </c>
      <c r="T286" s="61"/>
      <c r="U286" s="61">
        <f t="shared" si="260"/>
        <v>0</v>
      </c>
      <c r="V286" s="7" t="str">
        <f t="shared" si="261"/>
        <v>NONE</v>
      </c>
      <c r="W286" s="56"/>
      <c r="X286" s="87" t="s">
        <v>25</v>
      </c>
      <c r="Y286" s="61">
        <f t="shared" si="262"/>
        <v>1812</v>
      </c>
      <c r="Z286" s="61"/>
      <c r="AA286" s="1">
        <f t="shared" si="263"/>
        <v>0</v>
      </c>
      <c r="AB286" s="1">
        <f t="shared" si="264"/>
        <v>130</v>
      </c>
      <c r="AC286" s="1"/>
      <c r="AD286" s="65">
        <f t="shared" si="265"/>
        <v>1182</v>
      </c>
      <c r="AE286" s="1"/>
      <c r="AF286" s="1">
        <f t="shared" si="266"/>
        <v>30</v>
      </c>
      <c r="AG286" s="1">
        <f>IF(AH286&gt;0,AH169:AH286,0)</f>
        <v>1152</v>
      </c>
      <c r="AH286" s="1">
        <f t="shared" ref="AH286:AH303" si="277">AD286-AF286</f>
        <v>1152</v>
      </c>
      <c r="AJ286">
        <f t="shared" ref="AJ286:AJ303" si="278">IF(T286=1,P286-U286,0)</f>
        <v>0</v>
      </c>
      <c r="AK286">
        <f t="shared" ref="AK286:AK303" si="279">IF(T286=2,P286-U286,0)</f>
        <v>0</v>
      </c>
      <c r="AL286">
        <f t="shared" ref="AL286:AL303" si="280">IF(T286=3,P286-U286,0)</f>
        <v>0</v>
      </c>
      <c r="AM286">
        <f t="shared" ref="AM286:AM303" si="281">IF(T286=4,P286-U286,0)</f>
        <v>0</v>
      </c>
      <c r="AO286">
        <f t="shared" ref="AO286:AO303" si="282">IF(T286=1,P286-U286,0)</f>
        <v>0</v>
      </c>
      <c r="AP286">
        <f t="shared" ref="AP286:AP303" si="283">IF(T286=2,P286-U286,0)</f>
        <v>0</v>
      </c>
      <c r="AQ286">
        <f t="shared" ref="AQ286:AQ303" si="284">IF(T286=3,P286-U286,0)</f>
        <v>0</v>
      </c>
      <c r="AR286">
        <f t="shared" ref="AR286:AR303" si="285">IF(T286=4,P286-U286,0)</f>
        <v>0</v>
      </c>
    </row>
    <row r="287" spans="1:45" x14ac:dyDescent="0.25">
      <c r="B287" s="82" t="s">
        <v>82</v>
      </c>
      <c r="C287" s="8" t="s">
        <v>42</v>
      </c>
      <c r="D287" s="8"/>
      <c r="E287" t="s">
        <v>42</v>
      </c>
      <c r="F287">
        <f t="shared" si="276"/>
        <v>9</v>
      </c>
      <c r="G287">
        <f t="shared" si="257"/>
        <v>0</v>
      </c>
      <c r="H287" t="s">
        <v>792</v>
      </c>
      <c r="I287" s="121">
        <v>9</v>
      </c>
      <c r="L287" t="s">
        <v>55</v>
      </c>
      <c r="N287" s="4" t="s">
        <v>36</v>
      </c>
      <c r="P287" s="86">
        <v>0</v>
      </c>
      <c r="Q287" s="1">
        <f t="shared" si="258"/>
        <v>0</v>
      </c>
      <c r="R287">
        <f t="shared" si="259"/>
        <v>0</v>
      </c>
      <c r="S287" s="6"/>
      <c r="T287" s="61"/>
      <c r="U287" s="61">
        <f t="shared" si="260"/>
        <v>0</v>
      </c>
      <c r="V287" s="7" t="str">
        <f t="shared" si="261"/>
        <v>NONE</v>
      </c>
      <c r="W287" s="56"/>
      <c r="X287" s="5"/>
      <c r="Y287" s="61">
        <f t="shared" si="262"/>
        <v>0</v>
      </c>
      <c r="Z287" s="61"/>
      <c r="AA287" s="1">
        <f t="shared" si="263"/>
        <v>0</v>
      </c>
      <c r="AB287" s="1">
        <f t="shared" si="264"/>
        <v>130</v>
      </c>
      <c r="AC287" s="1"/>
      <c r="AD287" s="65">
        <f t="shared" si="265"/>
        <v>-130</v>
      </c>
      <c r="AE287" s="1"/>
      <c r="AF287" s="1">
        <f t="shared" si="266"/>
        <v>0</v>
      </c>
      <c r="AG287" s="1">
        <f>IF(AH287&gt;0,AH164:AH287,0)</f>
        <v>0</v>
      </c>
      <c r="AH287" s="1">
        <f t="shared" si="277"/>
        <v>-130</v>
      </c>
      <c r="AJ287">
        <f t="shared" si="278"/>
        <v>0</v>
      </c>
      <c r="AK287">
        <f t="shared" si="279"/>
        <v>0</v>
      </c>
      <c r="AL287">
        <f t="shared" si="280"/>
        <v>0</v>
      </c>
      <c r="AM287">
        <f t="shared" si="281"/>
        <v>0</v>
      </c>
      <c r="AO287">
        <f t="shared" si="282"/>
        <v>0</v>
      </c>
      <c r="AP287">
        <f t="shared" si="283"/>
        <v>0</v>
      </c>
      <c r="AQ287">
        <f t="shared" si="284"/>
        <v>0</v>
      </c>
      <c r="AR287">
        <f t="shared" si="285"/>
        <v>0</v>
      </c>
    </row>
    <row r="288" spans="1:45" x14ac:dyDescent="0.25">
      <c r="B288" s="8" t="s">
        <v>998</v>
      </c>
      <c r="C288" s="121" t="s">
        <v>999</v>
      </c>
      <c r="D288" s="121"/>
      <c r="E288" t="s">
        <v>885</v>
      </c>
      <c r="F288">
        <f>IF(E288=$B$12,I288,0)</f>
        <v>0</v>
      </c>
      <c r="G288">
        <f>IF(F288&gt;0,0,1)</f>
        <v>1</v>
      </c>
      <c r="H288" t="s">
        <v>1000</v>
      </c>
      <c r="I288" s="121">
        <v>5</v>
      </c>
      <c r="K288" t="s">
        <v>615</v>
      </c>
      <c r="L288" t="s">
        <v>55</v>
      </c>
      <c r="M288" s="87" t="s">
        <v>1001</v>
      </c>
      <c r="N288" s="4" t="s">
        <v>36</v>
      </c>
      <c r="P288" s="86">
        <v>1567.75</v>
      </c>
      <c r="Q288" s="1">
        <f>ROUND((P288*0.4),0)</f>
        <v>627</v>
      </c>
      <c r="R288">
        <f t="shared" si="259"/>
        <v>1440.75</v>
      </c>
      <c r="S288" s="198" t="s">
        <v>156</v>
      </c>
      <c r="T288" s="61"/>
      <c r="U288" s="61">
        <f t="shared" si="260"/>
        <v>0</v>
      </c>
      <c r="V288" s="7" t="str">
        <f>IF(W288=1,$AE$2,IF(W288=2,$AE$1,IF(AND(W288&lt;&gt;1,W288&lt;&gt;20)=TRUE,$AE$3)))</f>
        <v>NONE</v>
      </c>
      <c r="W288" s="56"/>
      <c r="X288" s="5" t="s">
        <v>1002</v>
      </c>
      <c r="Y288" s="199">
        <f>R288+Q288</f>
        <v>2067.75</v>
      </c>
      <c r="Z288" s="61"/>
      <c r="AA288" s="1">
        <f>IF(X288=$AA$1,R288-500,0)</f>
        <v>0</v>
      </c>
      <c r="AB288" s="1">
        <f>IF(I288&gt;0,130,0)</f>
        <v>130</v>
      </c>
      <c r="AC288" s="1"/>
      <c r="AD288" s="65">
        <f>(P288+U288)-AB288</f>
        <v>1437.75</v>
      </c>
      <c r="AE288" s="1"/>
      <c r="AF288" s="1">
        <f>IF(I288&gt;0,30*G288,0)</f>
        <v>30</v>
      </c>
      <c r="AG288" s="1">
        <f>IF(AH288&gt;0,AH155:AH288,0)</f>
        <v>1407.75</v>
      </c>
      <c r="AH288" s="1">
        <f>AD288-AF288</f>
        <v>1407.75</v>
      </c>
      <c r="AJ288">
        <f>IF(T288=1,P288-U288,0)</f>
        <v>0</v>
      </c>
      <c r="AK288">
        <f>IF(T288=2,P288-U288,0)</f>
        <v>0</v>
      </c>
      <c r="AL288">
        <f>IF(T288=3,P288-U288,0)</f>
        <v>0</v>
      </c>
      <c r="AM288">
        <f>IF(T288=4,P288-U288,0)</f>
        <v>0</v>
      </c>
      <c r="AO288">
        <f>IF(T288=1,P288-U288,0)</f>
        <v>0</v>
      </c>
      <c r="AP288">
        <f>IF(T288=2,P288-U288,0)</f>
        <v>0</v>
      </c>
      <c r="AQ288">
        <f>IF(T288=3,P288-U288,0)</f>
        <v>0</v>
      </c>
      <c r="AR288">
        <f>IF(T288=4,P288-U288,0)</f>
        <v>0</v>
      </c>
    </row>
    <row r="289" spans="2:44" x14ac:dyDescent="0.25">
      <c r="B289" s="8" t="s">
        <v>950</v>
      </c>
      <c r="C289" t="s">
        <v>949</v>
      </c>
      <c r="E289" t="s">
        <v>370</v>
      </c>
      <c r="F289">
        <f>IF(E289=$B$12,I289,0)</f>
        <v>0</v>
      </c>
      <c r="G289">
        <f>IF(F289&gt;0,0,1)</f>
        <v>1</v>
      </c>
      <c r="H289" s="51" t="s">
        <v>948</v>
      </c>
      <c r="I289" s="121">
        <v>7</v>
      </c>
      <c r="K289" t="s">
        <v>615</v>
      </c>
      <c r="L289" t="s">
        <v>55</v>
      </c>
      <c r="N289" s="4" t="s">
        <v>36</v>
      </c>
      <c r="P289" s="86">
        <v>1841.62</v>
      </c>
      <c r="Q289" s="1">
        <f>P289*0.5</f>
        <v>920.81</v>
      </c>
      <c r="R289">
        <f>IF(P289&gt;0,((P289+500)-Q289)+U289,0)</f>
        <v>1420.81</v>
      </c>
      <c r="S289" s="6" t="s">
        <v>951</v>
      </c>
      <c r="T289" s="61"/>
      <c r="U289" s="61">
        <f>IF(V289=$AE$2,47,IF(V289=$AE$1,ROUND(((P289+500)*0.039),0),IF(V289=$AE$3,0)))</f>
        <v>0</v>
      </c>
      <c r="V289" s="7" t="str">
        <f>IF(W289=1,$AE$2,IF(W289=2,$AE$1,IF(AND(W289&lt;&gt;1,W289&lt;&gt;20)=TRUE,$AE$3)))</f>
        <v>NONE</v>
      </c>
      <c r="W289" s="56"/>
      <c r="X289" s="5" t="s">
        <v>25</v>
      </c>
      <c r="Y289" s="182">
        <f>R289+Q289</f>
        <v>2341.62</v>
      </c>
      <c r="Z289" s="61"/>
      <c r="AA289" s="1">
        <f>IF(X289=$AA$1,R289-500,0)</f>
        <v>0</v>
      </c>
      <c r="AB289" s="1">
        <f>IF(I289&gt;0,130,0)</f>
        <v>130</v>
      </c>
      <c r="AC289" s="1"/>
      <c r="AD289" s="65">
        <f>(P289+U289)-AB289</f>
        <v>1711.62</v>
      </c>
      <c r="AE289" s="1"/>
      <c r="AF289" s="1">
        <f>IF(I289&gt;0,30*G289,0)</f>
        <v>30</v>
      </c>
      <c r="AG289" s="1">
        <f>IF(AH289&gt;0,AH159:AH289,0)</f>
        <v>1681.62</v>
      </c>
      <c r="AH289" s="1">
        <f>AD289-AF289</f>
        <v>1681.62</v>
      </c>
      <c r="AJ289">
        <f>IF(T289=1,P289-U289,0)</f>
        <v>0</v>
      </c>
      <c r="AK289">
        <f>IF(T289=2,P289-U289,0)</f>
        <v>0</v>
      </c>
      <c r="AL289">
        <f>IF(T289=3,P289-U289,0)</f>
        <v>0</v>
      </c>
      <c r="AM289">
        <f>IF(T289=4,P289-U289,0)</f>
        <v>0</v>
      </c>
      <c r="AO289">
        <f>IF(T289=1,P289-U289,0)</f>
        <v>0</v>
      </c>
      <c r="AP289">
        <f>IF(T289=2,P289-U289,0)</f>
        <v>0</v>
      </c>
      <c r="AQ289">
        <f>IF(T289=3,P289-U289,0)</f>
        <v>0</v>
      </c>
      <c r="AR289">
        <f>IF(T289=4,P289-U289,0)</f>
        <v>0</v>
      </c>
    </row>
    <row r="290" spans="2:44" ht="15.75" x14ac:dyDescent="0.25">
      <c r="B290" s="143" t="s">
        <v>855</v>
      </c>
      <c r="C290" t="s">
        <v>97</v>
      </c>
      <c r="F290">
        <f t="shared" si="276"/>
        <v>0</v>
      </c>
      <c r="G290">
        <f t="shared" si="257"/>
        <v>1</v>
      </c>
      <c r="H290" t="s">
        <v>854</v>
      </c>
      <c r="I290" s="121">
        <v>7</v>
      </c>
      <c r="K290" t="s">
        <v>98</v>
      </c>
      <c r="L290" t="s">
        <v>55</v>
      </c>
      <c r="N290" s="4" t="s">
        <v>36</v>
      </c>
      <c r="P290" s="86">
        <v>1802</v>
      </c>
      <c r="Q290" s="1">
        <f t="shared" si="258"/>
        <v>721</v>
      </c>
      <c r="R290">
        <f t="shared" si="259"/>
        <v>1581</v>
      </c>
      <c r="S290" s="6" t="s">
        <v>856</v>
      </c>
      <c r="T290" s="61"/>
      <c r="U290" s="61">
        <f t="shared" si="260"/>
        <v>0</v>
      </c>
      <c r="V290" s="7" t="str">
        <f t="shared" si="261"/>
        <v>NONE</v>
      </c>
      <c r="W290" s="56"/>
      <c r="X290" s="5" t="s">
        <v>909</v>
      </c>
      <c r="Y290" s="61">
        <f>R290+Q290</f>
        <v>2302</v>
      </c>
      <c r="Z290" s="61"/>
      <c r="AA290" s="1">
        <f t="shared" si="263"/>
        <v>0</v>
      </c>
      <c r="AB290" s="1">
        <f t="shared" si="264"/>
        <v>130</v>
      </c>
      <c r="AC290" s="1"/>
      <c r="AD290" s="65">
        <f t="shared" si="265"/>
        <v>1672</v>
      </c>
      <c r="AE290" s="1"/>
      <c r="AF290" s="1">
        <f t="shared" si="266"/>
        <v>30</v>
      </c>
      <c r="AG290" s="1">
        <f>IF(AH290&gt;0,AH164:AH309,0)</f>
        <v>1642</v>
      </c>
      <c r="AH290" s="1">
        <f t="shared" si="277"/>
        <v>1642</v>
      </c>
      <c r="AJ290">
        <f t="shared" si="278"/>
        <v>0</v>
      </c>
      <c r="AK290">
        <f t="shared" si="279"/>
        <v>0</v>
      </c>
      <c r="AL290">
        <f t="shared" si="280"/>
        <v>0</v>
      </c>
      <c r="AM290">
        <f t="shared" si="281"/>
        <v>0</v>
      </c>
      <c r="AO290">
        <f t="shared" si="282"/>
        <v>0</v>
      </c>
      <c r="AP290">
        <f t="shared" si="283"/>
        <v>0</v>
      </c>
      <c r="AQ290">
        <f t="shared" si="284"/>
        <v>0</v>
      </c>
      <c r="AR290">
        <f t="shared" si="285"/>
        <v>0</v>
      </c>
    </row>
    <row r="291" spans="2:44" x14ac:dyDescent="0.25">
      <c r="B291" t="s">
        <v>977</v>
      </c>
      <c r="C291" t="s">
        <v>978</v>
      </c>
      <c r="E291" t="s">
        <v>616</v>
      </c>
      <c r="F291">
        <f t="shared" si="276"/>
        <v>0</v>
      </c>
      <c r="G291">
        <f t="shared" si="257"/>
        <v>1</v>
      </c>
      <c r="H291" s="51" t="s">
        <v>976</v>
      </c>
      <c r="I291" s="121">
        <v>8</v>
      </c>
      <c r="K291" t="s">
        <v>777</v>
      </c>
      <c r="L291" t="s">
        <v>55</v>
      </c>
      <c r="N291" s="4" t="s">
        <v>36</v>
      </c>
      <c r="P291" s="86">
        <f>2005.79-130</f>
        <v>1875.79</v>
      </c>
      <c r="Q291" s="1">
        <f>1067.9-130</f>
        <v>937.90000000000009</v>
      </c>
      <c r="R291">
        <f t="shared" ref="R291:R301" si="286">IF(P291&gt;0,((P291+500)-Q291)+U291,0)</f>
        <v>1437.8899999999999</v>
      </c>
      <c r="S291" s="6" t="s">
        <v>979</v>
      </c>
      <c r="T291" s="182"/>
      <c r="U291" s="61">
        <f t="shared" si="260"/>
        <v>0</v>
      </c>
      <c r="V291" s="7" t="str">
        <f t="shared" si="261"/>
        <v>NONE</v>
      </c>
      <c r="W291" s="56"/>
      <c r="X291" s="5" t="s">
        <v>981</v>
      </c>
      <c r="Y291" s="182">
        <f>R291+Q291</f>
        <v>2375.79</v>
      </c>
      <c r="Z291" s="61"/>
      <c r="AA291" s="1">
        <f t="shared" si="263"/>
        <v>0</v>
      </c>
      <c r="AB291" s="1">
        <f t="shared" si="264"/>
        <v>130</v>
      </c>
      <c r="AC291" s="1"/>
      <c r="AD291" s="65">
        <f t="shared" si="265"/>
        <v>1745.79</v>
      </c>
      <c r="AE291" s="1"/>
      <c r="AF291" s="1">
        <f t="shared" si="266"/>
        <v>30</v>
      </c>
      <c r="AG291" s="1">
        <f>IF(AH291&gt;0,AH161:AH291,0)</f>
        <v>1715.79</v>
      </c>
      <c r="AH291" s="1">
        <f t="shared" si="277"/>
        <v>1715.79</v>
      </c>
      <c r="AJ291">
        <f t="shared" si="278"/>
        <v>0</v>
      </c>
      <c r="AK291">
        <f t="shared" si="279"/>
        <v>0</v>
      </c>
      <c r="AL291">
        <f t="shared" si="280"/>
        <v>0</v>
      </c>
      <c r="AM291">
        <f t="shared" si="281"/>
        <v>0</v>
      </c>
      <c r="AO291">
        <f t="shared" si="282"/>
        <v>0</v>
      </c>
      <c r="AP291">
        <f t="shared" si="283"/>
        <v>0</v>
      </c>
      <c r="AQ291">
        <f t="shared" si="284"/>
        <v>0</v>
      </c>
      <c r="AR291">
        <f t="shared" si="285"/>
        <v>0</v>
      </c>
    </row>
    <row r="292" spans="2:44" x14ac:dyDescent="0.25">
      <c r="B292" s="82" t="s">
        <v>82</v>
      </c>
      <c r="C292" s="8" t="s">
        <v>42</v>
      </c>
      <c r="D292" s="8"/>
      <c r="E292" t="s">
        <v>42</v>
      </c>
      <c r="F292">
        <f t="shared" si="276"/>
        <v>3</v>
      </c>
      <c r="G292">
        <f t="shared" si="257"/>
        <v>0</v>
      </c>
      <c r="H292" s="121" t="s">
        <v>793</v>
      </c>
      <c r="I292" s="121">
        <v>3</v>
      </c>
      <c r="L292" t="s">
        <v>55</v>
      </c>
      <c r="N292" s="4" t="s">
        <v>36</v>
      </c>
      <c r="P292" s="86">
        <v>0</v>
      </c>
      <c r="Q292" s="1">
        <f t="shared" si="258"/>
        <v>0</v>
      </c>
      <c r="R292">
        <f t="shared" si="286"/>
        <v>0</v>
      </c>
      <c r="S292" s="6"/>
      <c r="T292" s="61"/>
      <c r="U292" s="61">
        <f t="shared" ref="U292:U303" si="287">IF(V292=$AE$2,47,IF(V292=$AE$1,ROUND(((P292+500)*0.039),0),IF(V292=$AE$3,0)))</f>
        <v>0</v>
      </c>
      <c r="V292" s="7" t="str">
        <f t="shared" si="261"/>
        <v>NONE</v>
      </c>
      <c r="W292" s="56"/>
      <c r="X292" s="5"/>
      <c r="Y292" s="61">
        <f t="shared" si="262"/>
        <v>0</v>
      </c>
      <c r="Z292" s="61"/>
      <c r="AA292" s="1">
        <f t="shared" si="263"/>
        <v>0</v>
      </c>
      <c r="AB292" s="1">
        <f t="shared" si="264"/>
        <v>130</v>
      </c>
      <c r="AC292" s="1"/>
      <c r="AD292" s="65">
        <f t="shared" si="265"/>
        <v>-130</v>
      </c>
      <c r="AE292" s="1"/>
      <c r="AF292" s="1">
        <f t="shared" si="266"/>
        <v>0</v>
      </c>
      <c r="AG292" s="1">
        <f>IF(AH292&gt;0,AH161:AH304,0)</f>
        <v>0</v>
      </c>
      <c r="AH292" s="1">
        <f t="shared" si="277"/>
        <v>-130</v>
      </c>
      <c r="AJ292">
        <f t="shared" si="278"/>
        <v>0</v>
      </c>
      <c r="AK292">
        <f t="shared" si="279"/>
        <v>0</v>
      </c>
      <c r="AL292">
        <f t="shared" si="280"/>
        <v>0</v>
      </c>
      <c r="AM292">
        <f t="shared" si="281"/>
        <v>0</v>
      </c>
      <c r="AO292">
        <f t="shared" si="282"/>
        <v>0</v>
      </c>
      <c r="AP292">
        <f t="shared" si="283"/>
        <v>0</v>
      </c>
      <c r="AQ292">
        <f t="shared" si="284"/>
        <v>0</v>
      </c>
      <c r="AR292">
        <f t="shared" si="285"/>
        <v>0</v>
      </c>
    </row>
    <row r="293" spans="2:44" s="188" customFormat="1" x14ac:dyDescent="0.25">
      <c r="B293" s="201" t="s">
        <v>971</v>
      </c>
      <c r="C293" t="s">
        <v>970</v>
      </c>
      <c r="D293"/>
      <c r="E293" s="188" t="s">
        <v>616</v>
      </c>
      <c r="F293" s="188">
        <f>IF(E293=$B$12,I293,0)</f>
        <v>0</v>
      </c>
      <c r="G293" s="188">
        <f>IF(F293&gt;0,0,1)</f>
        <v>1</v>
      </c>
      <c r="H293" s="188" t="s">
        <v>968</v>
      </c>
      <c r="I293" s="197">
        <v>6</v>
      </c>
      <c r="K293" s="188" t="s">
        <v>864</v>
      </c>
      <c r="L293" s="188" t="s">
        <v>55</v>
      </c>
      <c r="M293" s="189"/>
      <c r="N293" s="190" t="s">
        <v>36</v>
      </c>
      <c r="P293" s="191">
        <f>1732.24-107.03</f>
        <v>1625.21</v>
      </c>
      <c r="Q293" s="192">
        <f>P293*0.5</f>
        <v>812.60500000000002</v>
      </c>
      <c r="R293" s="188">
        <f>IF(P293&gt;0,((P293+500)-Q293)+U293,0)</f>
        <v>1312.605</v>
      </c>
      <c r="S293" s="192" t="s">
        <v>969</v>
      </c>
      <c r="T293" s="192"/>
      <c r="U293" s="192">
        <f>IF(V293=$AE$2,47,IF(V293=$AE$1,ROUND(((P293+500)*0.039),0),IF(V293=$AE$3,0)))</f>
        <v>0</v>
      </c>
      <c r="V293" s="193" t="str">
        <f>IF(W293=1,$AE$2,IF(W293=2,$AE$1,IF(AND(W293&lt;&gt;1,W293&lt;&gt;20)=TRUE,$AE$3)))</f>
        <v>NONE</v>
      </c>
      <c r="W293" s="194"/>
      <c r="X293" s="195" t="s">
        <v>25</v>
      </c>
      <c r="Y293" s="192">
        <f>R293+Q293</f>
        <v>2125.21</v>
      </c>
      <c r="Z293" s="192"/>
      <c r="AA293" s="192">
        <f>IF(X293=$AA$1,R293-500,0)</f>
        <v>0</v>
      </c>
      <c r="AB293" s="192">
        <f>IF(I293&gt;0,130,0)</f>
        <v>130</v>
      </c>
      <c r="AC293" s="192"/>
      <c r="AD293" s="188">
        <f>(P293+U293)-AB293</f>
        <v>1495.21</v>
      </c>
      <c r="AE293" s="192"/>
      <c r="AF293" s="192">
        <f>IF(I293&gt;0,30*G293,0)</f>
        <v>30</v>
      </c>
      <c r="AG293" s="192">
        <f>IF(AH293&gt;0,AH164:AH293,0)</f>
        <v>1465.21</v>
      </c>
      <c r="AH293" s="192">
        <f>AD293-AF293</f>
        <v>1465.21</v>
      </c>
      <c r="AJ293" s="188">
        <f>IF(T293=1,P293-U293,0)</f>
        <v>0</v>
      </c>
      <c r="AK293" s="188">
        <f>IF(T293=2,P293-U293,0)</f>
        <v>0</v>
      </c>
      <c r="AL293" s="188">
        <f>IF(T293=3,P293-U293,0)</f>
        <v>0</v>
      </c>
      <c r="AM293" s="188">
        <f>IF(T293=4,P293-U293,0)</f>
        <v>0</v>
      </c>
      <c r="AO293" s="188">
        <f>IF(T293=1,P293-U293,0)</f>
        <v>0</v>
      </c>
      <c r="AP293" s="188">
        <f>IF(T293=2,P293-U293,0)</f>
        <v>0</v>
      </c>
      <c r="AQ293" s="188">
        <f>IF(T293=3,P293-U293,0)</f>
        <v>0</v>
      </c>
      <c r="AR293" s="188">
        <f>IF(T293=4,P293-U293,0)</f>
        <v>0</v>
      </c>
    </row>
    <row r="294" spans="2:44" x14ac:dyDescent="0.25">
      <c r="B294" s="8" t="s">
        <v>936</v>
      </c>
      <c r="C294" t="s">
        <v>937</v>
      </c>
      <c r="E294" t="s">
        <v>370</v>
      </c>
      <c r="F294">
        <f>IF(E294=$B$12,I294,0)</f>
        <v>0</v>
      </c>
      <c r="G294">
        <f>IF(F294&gt;0,0,1)</f>
        <v>1</v>
      </c>
      <c r="H294" t="s">
        <v>935</v>
      </c>
      <c r="I294" s="121">
        <v>7</v>
      </c>
      <c r="K294" t="s">
        <v>938</v>
      </c>
      <c r="L294" t="s">
        <v>55</v>
      </c>
      <c r="M294" s="51"/>
      <c r="N294" s="4" t="s">
        <v>36</v>
      </c>
      <c r="P294" s="86">
        <f>1080.27*2</f>
        <v>2160.54</v>
      </c>
      <c r="Q294" s="1">
        <f>ROUND((P294*0.5),4)</f>
        <v>1080.27</v>
      </c>
      <c r="R294">
        <f t="shared" si="286"/>
        <v>1580.27</v>
      </c>
      <c r="S294" s="6">
        <v>42483</v>
      </c>
      <c r="T294" s="61"/>
      <c r="U294" s="61">
        <f>IF(V294=$AE$2,47,IF(V294=$AE$1,ROUND(((P294+500)*0.039),0),IF(V294=$AE$3,0)))</f>
        <v>0</v>
      </c>
      <c r="V294" s="7" t="str">
        <f>IF(W294=1,$AE$2,IF(W294=2,$AE$1,IF(AND(W294&lt;&gt;1,W294&lt;&gt;20)=TRUE,$AE$3)))</f>
        <v>NONE</v>
      </c>
      <c r="W294" s="56"/>
      <c r="X294" s="5" t="s">
        <v>25</v>
      </c>
      <c r="Y294" s="182">
        <f>R294+Q294</f>
        <v>2660.54</v>
      </c>
      <c r="Z294" s="61"/>
      <c r="AA294" s="1">
        <f>IF(X294=$AA$1,R294-500,0)</f>
        <v>0</v>
      </c>
      <c r="AB294" s="1">
        <f>IF(I294&gt;0,130,0)</f>
        <v>130</v>
      </c>
      <c r="AC294" s="1"/>
      <c r="AD294" s="65">
        <f>(P294+U294)-AB294</f>
        <v>2030.54</v>
      </c>
      <c r="AE294" s="1"/>
      <c r="AF294" s="1">
        <f>IF(I294&gt;0,30*G294,0)</f>
        <v>30</v>
      </c>
      <c r="AG294" s="1">
        <f>IF(AH294&gt;0,AH166:AH294,0)</f>
        <v>2000.54</v>
      </c>
      <c r="AH294" s="1">
        <f>AD294-AF294</f>
        <v>2000.54</v>
      </c>
      <c r="AJ294">
        <f>IF(T294=1,P294-U294,0)</f>
        <v>0</v>
      </c>
      <c r="AK294">
        <f>IF(T294=2,P294-U294,0)</f>
        <v>0</v>
      </c>
      <c r="AL294">
        <f>IF(T294=3,P294-U294,0)</f>
        <v>0</v>
      </c>
      <c r="AM294">
        <f>IF(T294=4,P294-U294,0)</f>
        <v>0</v>
      </c>
      <c r="AO294">
        <f>IF(T294=1,P294-U294,0)</f>
        <v>0</v>
      </c>
      <c r="AP294">
        <f>IF(T294=2,P294-U294,0)</f>
        <v>0</v>
      </c>
      <c r="AQ294">
        <f>IF(T294=3,P294-U294,0)</f>
        <v>0</v>
      </c>
      <c r="AR294">
        <f>IF(T294=4,P294-U294,0)</f>
        <v>0</v>
      </c>
    </row>
    <row r="295" spans="2:44" x14ac:dyDescent="0.25">
      <c r="B295" s="8" t="s">
        <v>1006</v>
      </c>
      <c r="C295" t="s">
        <v>994</v>
      </c>
      <c r="F295">
        <f>IF(E295=$B$12,I295,0)</f>
        <v>0</v>
      </c>
      <c r="G295">
        <f>IF(F295&gt;0,0,1)</f>
        <v>1</v>
      </c>
      <c r="H295" t="s">
        <v>992</v>
      </c>
      <c r="I295" s="121">
        <v>6</v>
      </c>
      <c r="K295" t="s">
        <v>993</v>
      </c>
      <c r="L295" t="s">
        <v>55</v>
      </c>
      <c r="M295" s="51"/>
      <c r="N295" s="4" t="s">
        <v>36</v>
      </c>
      <c r="P295" s="86">
        <v>1877</v>
      </c>
      <c r="Q295" s="1">
        <f>ROUND((P295*0.5),0)</f>
        <v>939</v>
      </c>
      <c r="R295">
        <f>IF(P295&gt;0,((P295+500)-Q295)+U295,0)</f>
        <v>1438</v>
      </c>
      <c r="S295" s="6">
        <v>42855</v>
      </c>
      <c r="T295" s="61"/>
      <c r="U295" s="61">
        <f>IF(V295=$AE$2,47,IF(V295=$AE$1,ROUND(((P295+500)*0.039),0),IF(V295=$AE$3,0)))</f>
        <v>0</v>
      </c>
      <c r="V295" s="7" t="str">
        <f>IF(W295=1,$AE$2,IF(W295=2,$AE$1,IF(AND(W295&lt;&gt;1,W295&lt;&gt;20)=TRUE,$AE$3)))</f>
        <v>NONE</v>
      </c>
      <c r="W295" s="56"/>
      <c r="X295" s="87" t="s">
        <v>25</v>
      </c>
      <c r="Y295" s="61">
        <f>R295+Q295</f>
        <v>2377</v>
      </c>
      <c r="Z295" s="61"/>
      <c r="AA295" s="1">
        <f>IF(X295=$AA$1,R295-500,0)</f>
        <v>0</v>
      </c>
      <c r="AB295" s="1">
        <f>IF(I295&gt;0,130,0)</f>
        <v>130</v>
      </c>
      <c r="AC295" s="1"/>
      <c r="AD295" s="65">
        <f>(P295+U295)-AB295</f>
        <v>1747</v>
      </c>
      <c r="AE295" s="1"/>
      <c r="AF295" s="1">
        <f>IF(I295&gt;0,30*G295,0)</f>
        <v>30</v>
      </c>
      <c r="AG295" s="1">
        <f>IF(AH295&gt;0,AH166:AH295,0)</f>
        <v>1717</v>
      </c>
      <c r="AH295" s="1">
        <f>AD295-AF295</f>
        <v>1717</v>
      </c>
      <c r="AJ295">
        <f>IF(T295=1,P295-U295,0)</f>
        <v>0</v>
      </c>
      <c r="AK295">
        <f>IF(T295=2,P295-U295,0)</f>
        <v>0</v>
      </c>
      <c r="AL295">
        <f>IF(T295=3,P295-U295,0)</f>
        <v>0</v>
      </c>
      <c r="AM295">
        <f>IF(T295=4,P295-U295,0)</f>
        <v>0</v>
      </c>
      <c r="AO295">
        <f>IF(T295=1,P295-U295,0)</f>
        <v>0</v>
      </c>
      <c r="AP295">
        <f>IF(T295=2,P295-U295,0)</f>
        <v>0</v>
      </c>
      <c r="AQ295">
        <f>IF(T295=3,P295-U295,0)</f>
        <v>0</v>
      </c>
      <c r="AR295">
        <f>IF(T295=4,P295-U295,0)</f>
        <v>0</v>
      </c>
    </row>
    <row r="296" spans="2:44" x14ac:dyDescent="0.25">
      <c r="B296" s="82" t="s">
        <v>82</v>
      </c>
      <c r="C296" s="8" t="s">
        <v>42</v>
      </c>
      <c r="D296" s="8"/>
      <c r="E296" t="s">
        <v>42</v>
      </c>
      <c r="F296">
        <f t="shared" si="276"/>
        <v>0</v>
      </c>
      <c r="G296">
        <f t="shared" si="257"/>
        <v>1</v>
      </c>
      <c r="H296" t="s">
        <v>796</v>
      </c>
      <c r="I296" s="121">
        <v>0</v>
      </c>
      <c r="L296" t="s">
        <v>55</v>
      </c>
      <c r="N296" s="4" t="s">
        <v>36</v>
      </c>
      <c r="P296" s="86">
        <v>0</v>
      </c>
      <c r="Q296" s="1">
        <f t="shared" si="258"/>
        <v>0</v>
      </c>
      <c r="R296">
        <f t="shared" si="286"/>
        <v>0</v>
      </c>
      <c r="S296" s="6"/>
      <c r="T296" s="61"/>
      <c r="U296" s="61">
        <f t="shared" si="287"/>
        <v>0</v>
      </c>
      <c r="V296" s="7" t="str">
        <f t="shared" si="261"/>
        <v>NONE</v>
      </c>
      <c r="W296" s="56"/>
      <c r="X296" s="5"/>
      <c r="Y296" s="61">
        <f t="shared" si="262"/>
        <v>0</v>
      </c>
      <c r="Z296" s="61"/>
      <c r="AA296" s="1">
        <f t="shared" si="263"/>
        <v>0</v>
      </c>
      <c r="AB296" s="1">
        <f t="shared" si="264"/>
        <v>0</v>
      </c>
      <c r="AC296" s="1"/>
      <c r="AD296" s="65">
        <f t="shared" si="265"/>
        <v>0</v>
      </c>
      <c r="AE296" s="1"/>
      <c r="AF296" s="1">
        <f t="shared" si="266"/>
        <v>0</v>
      </c>
      <c r="AG296" s="1">
        <f>IF(AH296&gt;0,AH166:AH296,0)</f>
        <v>0</v>
      </c>
      <c r="AH296" s="1">
        <f t="shared" si="277"/>
        <v>0</v>
      </c>
      <c r="AJ296">
        <f t="shared" si="278"/>
        <v>0</v>
      </c>
      <c r="AK296">
        <f t="shared" si="279"/>
        <v>0</v>
      </c>
      <c r="AL296">
        <f t="shared" si="280"/>
        <v>0</v>
      </c>
      <c r="AM296">
        <f t="shared" si="281"/>
        <v>0</v>
      </c>
      <c r="AO296">
        <f t="shared" si="282"/>
        <v>0</v>
      </c>
      <c r="AP296">
        <f t="shared" si="283"/>
        <v>0</v>
      </c>
      <c r="AQ296">
        <f t="shared" si="284"/>
        <v>0</v>
      </c>
      <c r="AR296">
        <f t="shared" si="285"/>
        <v>0</v>
      </c>
    </row>
    <row r="297" spans="2:44" x14ac:dyDescent="0.25">
      <c r="B297" s="8"/>
      <c r="C297" s="8"/>
      <c r="D297" s="8"/>
      <c r="F297">
        <f t="shared" si="276"/>
        <v>0</v>
      </c>
      <c r="G297">
        <f t="shared" si="257"/>
        <v>1</v>
      </c>
      <c r="I297" s="121">
        <v>0</v>
      </c>
      <c r="L297" t="s">
        <v>55</v>
      </c>
      <c r="M297" s="51"/>
      <c r="N297" s="4" t="s">
        <v>36</v>
      </c>
      <c r="P297" s="86">
        <v>0</v>
      </c>
      <c r="Q297" s="1">
        <f t="shared" si="258"/>
        <v>0</v>
      </c>
      <c r="R297">
        <f t="shared" si="286"/>
        <v>0</v>
      </c>
      <c r="S297" s="6"/>
      <c r="T297" s="61"/>
      <c r="U297" s="61">
        <f t="shared" si="287"/>
        <v>0</v>
      </c>
      <c r="V297" s="7" t="str">
        <f t="shared" si="261"/>
        <v>NONE</v>
      </c>
      <c r="W297" s="56"/>
      <c r="X297" s="5"/>
      <c r="Y297" s="61">
        <f t="shared" si="262"/>
        <v>0</v>
      </c>
      <c r="Z297" s="61"/>
      <c r="AA297" s="1">
        <f t="shared" si="263"/>
        <v>0</v>
      </c>
      <c r="AB297" s="1">
        <f t="shared" si="264"/>
        <v>0</v>
      </c>
      <c r="AC297" s="1"/>
      <c r="AD297" s="65">
        <f t="shared" si="265"/>
        <v>0</v>
      </c>
      <c r="AE297" s="1"/>
      <c r="AF297" s="1">
        <f t="shared" si="266"/>
        <v>0</v>
      </c>
      <c r="AG297" s="1">
        <f>IF(AH297&gt;0,AH168:AH297,0)</f>
        <v>0</v>
      </c>
      <c r="AH297" s="1">
        <f t="shared" si="277"/>
        <v>0</v>
      </c>
      <c r="AJ297">
        <f t="shared" si="278"/>
        <v>0</v>
      </c>
      <c r="AK297">
        <f t="shared" si="279"/>
        <v>0</v>
      </c>
      <c r="AL297">
        <f t="shared" si="280"/>
        <v>0</v>
      </c>
      <c r="AM297">
        <f t="shared" si="281"/>
        <v>0</v>
      </c>
      <c r="AO297">
        <f t="shared" si="282"/>
        <v>0</v>
      </c>
      <c r="AP297">
        <f t="shared" si="283"/>
        <v>0</v>
      </c>
      <c r="AQ297">
        <f t="shared" si="284"/>
        <v>0</v>
      </c>
      <c r="AR297">
        <f t="shared" si="285"/>
        <v>0</v>
      </c>
    </row>
    <row r="298" spans="2:44" ht="17.45" customHeight="1" x14ac:dyDescent="0.35">
      <c r="B298" s="82" t="s">
        <v>82</v>
      </c>
      <c r="C298" s="8" t="s">
        <v>42</v>
      </c>
      <c r="D298" s="8"/>
      <c r="E298" t="s">
        <v>42</v>
      </c>
      <c r="F298">
        <f t="shared" si="276"/>
        <v>27</v>
      </c>
      <c r="G298">
        <f t="shared" si="257"/>
        <v>0</v>
      </c>
      <c r="H298" t="s">
        <v>820</v>
      </c>
      <c r="I298" s="121">
        <v>27</v>
      </c>
      <c r="L298" t="s">
        <v>55</v>
      </c>
      <c r="N298" s="4" t="s">
        <v>36</v>
      </c>
      <c r="P298" s="86">
        <v>0</v>
      </c>
      <c r="Q298" s="1">
        <f>ROUND((P298*0.4),0)</f>
        <v>0</v>
      </c>
      <c r="R298">
        <f t="shared" si="286"/>
        <v>0</v>
      </c>
      <c r="S298" s="177" t="s">
        <v>202</v>
      </c>
      <c r="T298" s="61"/>
      <c r="U298" s="61">
        <f t="shared" si="287"/>
        <v>0</v>
      </c>
      <c r="V298" s="7" t="str">
        <f t="shared" si="261"/>
        <v>NONE</v>
      </c>
      <c r="W298" s="56"/>
      <c r="X298" s="5"/>
      <c r="Y298" s="61">
        <f t="shared" si="262"/>
        <v>0</v>
      </c>
      <c r="Z298" s="61"/>
      <c r="AA298" s="1">
        <f>IF(X298=$AA$1,R298-500,0)</f>
        <v>0</v>
      </c>
      <c r="AB298" s="1">
        <f t="shared" si="264"/>
        <v>130</v>
      </c>
      <c r="AC298" s="1"/>
      <c r="AD298" s="65">
        <f t="shared" si="265"/>
        <v>-130</v>
      </c>
      <c r="AE298" s="1"/>
      <c r="AF298" s="1">
        <f t="shared" si="266"/>
        <v>0</v>
      </c>
      <c r="AG298" s="1">
        <f>IF(AH298&gt;0,AH164:AH298,0)</f>
        <v>0</v>
      </c>
      <c r="AH298" s="1">
        <f t="shared" si="277"/>
        <v>-130</v>
      </c>
      <c r="AJ298">
        <f t="shared" si="278"/>
        <v>0</v>
      </c>
      <c r="AK298">
        <f t="shared" si="279"/>
        <v>0</v>
      </c>
      <c r="AL298">
        <f t="shared" si="280"/>
        <v>0</v>
      </c>
      <c r="AM298">
        <f t="shared" si="281"/>
        <v>0</v>
      </c>
      <c r="AO298">
        <f t="shared" si="282"/>
        <v>0</v>
      </c>
      <c r="AP298">
        <f t="shared" si="283"/>
        <v>0</v>
      </c>
      <c r="AQ298">
        <f t="shared" si="284"/>
        <v>0</v>
      </c>
      <c r="AR298">
        <f t="shared" si="285"/>
        <v>0</v>
      </c>
    </row>
    <row r="299" spans="2:44" ht="16.149999999999999" customHeight="1" x14ac:dyDescent="0.25">
      <c r="B299" s="178" t="s">
        <v>821</v>
      </c>
      <c r="C299" t="s">
        <v>1024</v>
      </c>
      <c r="E299" t="s">
        <v>822</v>
      </c>
      <c r="F299">
        <f t="shared" si="276"/>
        <v>0</v>
      </c>
      <c r="G299">
        <f t="shared" si="257"/>
        <v>1</v>
      </c>
      <c r="H299" t="s">
        <v>819</v>
      </c>
      <c r="I299" s="121">
        <v>17</v>
      </c>
      <c r="K299" t="s">
        <v>363</v>
      </c>
      <c r="L299" t="s">
        <v>55</v>
      </c>
      <c r="N299" s="4" t="s">
        <v>36</v>
      </c>
      <c r="P299" s="86">
        <v>5381</v>
      </c>
      <c r="Q299" s="1">
        <v>976</v>
      </c>
      <c r="R299">
        <v>3429</v>
      </c>
      <c r="S299" s="200" t="s">
        <v>1003</v>
      </c>
      <c r="T299" s="61"/>
      <c r="U299" s="61">
        <f t="shared" si="287"/>
        <v>0</v>
      </c>
      <c r="V299" s="7" t="str">
        <f t="shared" si="261"/>
        <v>NONE</v>
      </c>
      <c r="W299" s="56"/>
      <c r="X299" s="5" t="s">
        <v>25</v>
      </c>
      <c r="Y299" s="61">
        <f t="shared" si="262"/>
        <v>4405</v>
      </c>
      <c r="Z299" s="61"/>
      <c r="AA299" s="1">
        <f t="shared" si="263"/>
        <v>0</v>
      </c>
      <c r="AB299" s="1">
        <f t="shared" si="264"/>
        <v>130</v>
      </c>
      <c r="AC299" s="1"/>
      <c r="AD299" s="65">
        <f t="shared" si="265"/>
        <v>5251</v>
      </c>
      <c r="AE299" s="1"/>
      <c r="AF299" s="1">
        <f t="shared" si="266"/>
        <v>30</v>
      </c>
      <c r="AG299" s="1">
        <f>IF(AH299&gt;0,AH166:AH299,0)</f>
        <v>5221</v>
      </c>
      <c r="AH299" s="1">
        <f t="shared" si="277"/>
        <v>5221</v>
      </c>
      <c r="AJ299">
        <f t="shared" si="278"/>
        <v>0</v>
      </c>
      <c r="AK299">
        <f t="shared" si="279"/>
        <v>0</v>
      </c>
      <c r="AL299">
        <f t="shared" si="280"/>
        <v>0</v>
      </c>
      <c r="AM299">
        <f t="shared" si="281"/>
        <v>0</v>
      </c>
      <c r="AO299">
        <f t="shared" si="282"/>
        <v>0</v>
      </c>
      <c r="AP299">
        <f t="shared" si="283"/>
        <v>0</v>
      </c>
      <c r="AQ299">
        <f t="shared" si="284"/>
        <v>0</v>
      </c>
      <c r="AR299">
        <f t="shared" si="285"/>
        <v>0</v>
      </c>
    </row>
    <row r="300" spans="2:44" x14ac:dyDescent="0.25">
      <c r="B300" s="120" t="s">
        <v>1035</v>
      </c>
      <c r="C300" t="s">
        <v>60</v>
      </c>
      <c r="F300">
        <f t="shared" si="276"/>
        <v>0</v>
      </c>
      <c r="G300">
        <f t="shared" si="257"/>
        <v>1</v>
      </c>
      <c r="H300" s="121" t="s">
        <v>1004</v>
      </c>
      <c r="I300" s="121">
        <v>9</v>
      </c>
      <c r="K300" t="s">
        <v>913</v>
      </c>
      <c r="L300" t="s">
        <v>55</v>
      </c>
      <c r="N300" s="4" t="s">
        <v>36</v>
      </c>
      <c r="P300" s="86">
        <v>1956</v>
      </c>
      <c r="Q300" s="1">
        <v>500</v>
      </c>
      <c r="R300">
        <v>2356</v>
      </c>
      <c r="S300" s="136">
        <v>42544</v>
      </c>
      <c r="T300" s="61"/>
      <c r="U300" s="61">
        <f t="shared" si="287"/>
        <v>0</v>
      </c>
      <c r="V300" s="7" t="str">
        <f t="shared" si="261"/>
        <v>NONE</v>
      </c>
      <c r="W300" s="56"/>
      <c r="X300" s="87" t="s">
        <v>1005</v>
      </c>
      <c r="Y300" s="61">
        <f t="shared" si="262"/>
        <v>2856</v>
      </c>
      <c r="Z300" s="61"/>
      <c r="AA300" s="1">
        <f t="shared" si="263"/>
        <v>0</v>
      </c>
      <c r="AB300" s="1">
        <f t="shared" si="264"/>
        <v>130</v>
      </c>
      <c r="AC300" s="1"/>
      <c r="AD300" s="65">
        <f t="shared" si="265"/>
        <v>1826</v>
      </c>
      <c r="AE300" s="1"/>
      <c r="AF300" s="1">
        <f t="shared" si="266"/>
        <v>30</v>
      </c>
      <c r="AG300" s="1">
        <f>IF(AH300&gt;0,AH166:AH310,0)</f>
        <v>1796</v>
      </c>
      <c r="AH300" s="1">
        <f t="shared" si="277"/>
        <v>1796</v>
      </c>
      <c r="AJ300">
        <f t="shared" si="278"/>
        <v>0</v>
      </c>
      <c r="AK300">
        <f t="shared" si="279"/>
        <v>0</v>
      </c>
      <c r="AL300">
        <f t="shared" si="280"/>
        <v>0</v>
      </c>
      <c r="AM300">
        <f t="shared" si="281"/>
        <v>0</v>
      </c>
      <c r="AO300">
        <f t="shared" si="282"/>
        <v>0</v>
      </c>
      <c r="AP300">
        <f t="shared" si="283"/>
        <v>0</v>
      </c>
      <c r="AQ300">
        <f t="shared" si="284"/>
        <v>0</v>
      </c>
      <c r="AR300">
        <f t="shared" si="285"/>
        <v>0</v>
      </c>
    </row>
    <row r="301" spans="2:44" ht="13.15" customHeight="1" x14ac:dyDescent="0.25">
      <c r="B301" s="82" t="s">
        <v>82</v>
      </c>
      <c r="C301" s="8" t="s">
        <v>42</v>
      </c>
      <c r="D301" s="8"/>
      <c r="E301" t="s">
        <v>42</v>
      </c>
      <c r="F301">
        <f t="shared" si="276"/>
        <v>3</v>
      </c>
      <c r="G301">
        <f t="shared" si="257"/>
        <v>0</v>
      </c>
      <c r="H301" s="121" t="s">
        <v>794</v>
      </c>
      <c r="I301" s="121">
        <v>3</v>
      </c>
      <c r="L301" t="s">
        <v>55</v>
      </c>
      <c r="N301" s="4" t="s">
        <v>36</v>
      </c>
      <c r="P301" s="86">
        <v>0</v>
      </c>
      <c r="Q301" s="1">
        <f t="shared" si="258"/>
        <v>0</v>
      </c>
      <c r="R301">
        <f t="shared" si="286"/>
        <v>0</v>
      </c>
      <c r="S301" s="6"/>
      <c r="T301" s="61"/>
      <c r="U301" s="61">
        <f t="shared" si="287"/>
        <v>0</v>
      </c>
      <c r="V301" s="7" t="str">
        <f t="shared" si="261"/>
        <v>NONE</v>
      </c>
      <c r="W301" s="56"/>
      <c r="X301" s="5"/>
      <c r="Y301" s="61">
        <f t="shared" si="262"/>
        <v>0</v>
      </c>
      <c r="Z301" s="61"/>
      <c r="AA301" s="1">
        <f t="shared" si="263"/>
        <v>0</v>
      </c>
      <c r="AB301" s="1">
        <f t="shared" si="264"/>
        <v>130</v>
      </c>
      <c r="AC301" s="1"/>
      <c r="AD301" s="65">
        <f t="shared" si="265"/>
        <v>-130</v>
      </c>
      <c r="AE301" s="1"/>
      <c r="AF301" s="1">
        <f t="shared" si="266"/>
        <v>0</v>
      </c>
      <c r="AG301" s="1">
        <f>IF(AH301&gt;0,AH169:AH301,0)</f>
        <v>0</v>
      </c>
      <c r="AH301" s="1">
        <f t="shared" si="277"/>
        <v>-130</v>
      </c>
      <c r="AJ301">
        <f t="shared" si="278"/>
        <v>0</v>
      </c>
      <c r="AK301">
        <f t="shared" si="279"/>
        <v>0</v>
      </c>
      <c r="AL301">
        <f t="shared" si="280"/>
        <v>0</v>
      </c>
      <c r="AM301">
        <f t="shared" si="281"/>
        <v>0</v>
      </c>
      <c r="AO301">
        <f t="shared" si="282"/>
        <v>0</v>
      </c>
      <c r="AP301">
        <f t="shared" si="283"/>
        <v>0</v>
      </c>
      <c r="AQ301">
        <f t="shared" si="284"/>
        <v>0</v>
      </c>
      <c r="AR301">
        <f t="shared" si="285"/>
        <v>0</v>
      </c>
    </row>
    <row r="302" spans="2:44" x14ac:dyDescent="0.25">
      <c r="B302" s="8"/>
      <c r="F302">
        <f t="shared" si="276"/>
        <v>0</v>
      </c>
      <c r="G302">
        <f t="shared" si="257"/>
        <v>1</v>
      </c>
      <c r="I302" s="121">
        <v>0</v>
      </c>
      <c r="L302" t="s">
        <v>55</v>
      </c>
      <c r="M302" s="87"/>
      <c r="N302" s="4" t="s">
        <v>36</v>
      </c>
      <c r="P302" s="86">
        <v>0</v>
      </c>
      <c r="Q302" s="1">
        <f t="shared" si="258"/>
        <v>0</v>
      </c>
      <c r="R302">
        <f t="shared" ref="R302:R316" si="288">IF(P302&gt;0,((P302+500)-Q302)+U302,0)</f>
        <v>0</v>
      </c>
      <c r="S302" s="6"/>
      <c r="T302" s="61"/>
      <c r="U302" s="61">
        <f t="shared" si="287"/>
        <v>0</v>
      </c>
      <c r="V302" s="7" t="str">
        <f t="shared" si="261"/>
        <v>NONE</v>
      </c>
      <c r="W302" s="56"/>
      <c r="X302" s="5"/>
      <c r="Y302" s="61">
        <f t="shared" si="262"/>
        <v>0</v>
      </c>
      <c r="Z302" s="61"/>
      <c r="AA302" s="1">
        <f t="shared" si="263"/>
        <v>0</v>
      </c>
      <c r="AB302" s="1">
        <f t="shared" si="264"/>
        <v>0</v>
      </c>
      <c r="AC302" s="1"/>
      <c r="AD302" s="65">
        <f t="shared" si="265"/>
        <v>0</v>
      </c>
      <c r="AE302" s="1"/>
      <c r="AF302" s="1">
        <f t="shared" si="266"/>
        <v>0</v>
      </c>
      <c r="AG302" s="1">
        <f>IF(AH302&gt;0,AH169:AH302,0)</f>
        <v>0</v>
      </c>
      <c r="AH302" s="1">
        <f t="shared" si="277"/>
        <v>0</v>
      </c>
      <c r="AJ302">
        <f t="shared" si="278"/>
        <v>0</v>
      </c>
      <c r="AK302">
        <f t="shared" si="279"/>
        <v>0</v>
      </c>
      <c r="AL302">
        <f t="shared" si="280"/>
        <v>0</v>
      </c>
      <c r="AM302">
        <f t="shared" si="281"/>
        <v>0</v>
      </c>
      <c r="AO302">
        <f t="shared" si="282"/>
        <v>0</v>
      </c>
      <c r="AP302">
        <f t="shared" si="283"/>
        <v>0</v>
      </c>
      <c r="AQ302">
        <f t="shared" si="284"/>
        <v>0</v>
      </c>
      <c r="AR302">
        <f t="shared" si="285"/>
        <v>0</v>
      </c>
    </row>
    <row r="303" spans="2:44" x14ac:dyDescent="0.25">
      <c r="B303" s="8"/>
      <c r="C303" s="8"/>
      <c r="D303" s="8"/>
      <c r="F303">
        <f t="shared" si="276"/>
        <v>0</v>
      </c>
      <c r="G303">
        <f t="shared" si="257"/>
        <v>1</v>
      </c>
      <c r="I303" s="121">
        <v>0</v>
      </c>
      <c r="L303" t="s">
        <v>55</v>
      </c>
      <c r="N303" s="4" t="s">
        <v>36</v>
      </c>
      <c r="P303" s="86">
        <v>0</v>
      </c>
      <c r="Q303" s="1">
        <f t="shared" si="258"/>
        <v>0</v>
      </c>
      <c r="R303">
        <f t="shared" si="288"/>
        <v>0</v>
      </c>
      <c r="S303" s="6"/>
      <c r="T303" s="61"/>
      <c r="U303" s="61">
        <f t="shared" si="287"/>
        <v>0</v>
      </c>
      <c r="V303" s="7" t="str">
        <f t="shared" si="261"/>
        <v>NONE</v>
      </c>
      <c r="W303" s="56"/>
      <c r="X303" s="5"/>
      <c r="Y303" s="61">
        <f t="shared" si="262"/>
        <v>0</v>
      </c>
      <c r="Z303" s="61"/>
      <c r="AA303" s="1">
        <f t="shared" si="263"/>
        <v>0</v>
      </c>
      <c r="AB303" s="1">
        <f t="shared" si="264"/>
        <v>0</v>
      </c>
      <c r="AC303" s="1"/>
      <c r="AD303" s="65">
        <f t="shared" si="265"/>
        <v>0</v>
      </c>
      <c r="AE303" s="1"/>
      <c r="AF303" s="1">
        <f t="shared" si="266"/>
        <v>0</v>
      </c>
      <c r="AG303" s="1">
        <f>IF(AH303&gt;0,AH170:AH303,0)</f>
        <v>0</v>
      </c>
      <c r="AH303" s="1">
        <f t="shared" si="277"/>
        <v>0</v>
      </c>
      <c r="AJ303">
        <f t="shared" si="278"/>
        <v>0</v>
      </c>
      <c r="AK303">
        <f t="shared" si="279"/>
        <v>0</v>
      </c>
      <c r="AL303">
        <f t="shared" si="280"/>
        <v>0</v>
      </c>
      <c r="AM303">
        <f t="shared" si="281"/>
        <v>0</v>
      </c>
      <c r="AO303">
        <f t="shared" si="282"/>
        <v>0</v>
      </c>
      <c r="AP303">
        <f t="shared" si="283"/>
        <v>0</v>
      </c>
      <c r="AQ303">
        <f t="shared" si="284"/>
        <v>0</v>
      </c>
      <c r="AR303">
        <f t="shared" si="285"/>
        <v>0</v>
      </c>
    </row>
    <row r="304" spans="2:44" x14ac:dyDescent="0.25">
      <c r="B304" s="82" t="s">
        <v>82</v>
      </c>
      <c r="E304" t="s">
        <v>42</v>
      </c>
      <c r="F304">
        <v>4</v>
      </c>
      <c r="G304">
        <v>0</v>
      </c>
      <c r="H304" t="s">
        <v>954</v>
      </c>
      <c r="I304" s="121">
        <v>4</v>
      </c>
      <c r="L304" t="s">
        <v>55</v>
      </c>
      <c r="N304" s="4" t="s">
        <v>36</v>
      </c>
      <c r="P304" s="86">
        <v>0</v>
      </c>
      <c r="Q304" s="1">
        <f t="shared" si="258"/>
        <v>0</v>
      </c>
      <c r="R304">
        <f t="shared" si="288"/>
        <v>0</v>
      </c>
      <c r="S304" s="6"/>
      <c r="T304" s="61"/>
      <c r="U304" s="61">
        <f t="shared" ref="U304:U316" si="289">IF(V304=$AE$2,47,IF(V304=$AE$1,ROUND(((P304+500)*0.039),0),IF(V304=$AE$3,0)))</f>
        <v>0</v>
      </c>
      <c r="V304" s="7" t="str">
        <f t="shared" ref="V304:V316" si="290">IF(W304=1,$AE$2,IF(W304=2,$AE$1,IF(AND(W304&lt;&gt;1,W304&lt;&gt;20)=TRUE,$AE$3)))</f>
        <v>NONE</v>
      </c>
      <c r="W304" s="56"/>
      <c r="X304" s="5"/>
      <c r="Y304" s="61">
        <f t="shared" si="262"/>
        <v>0</v>
      </c>
      <c r="Z304" s="61"/>
      <c r="AA304" s="1">
        <f t="shared" ref="AA304:AA316" si="291">IF(X304=$AA$1,R304-500,0)</f>
        <v>0</v>
      </c>
      <c r="AB304" s="1">
        <f t="shared" ref="AB304:AB316" si="292">IF(I304&gt;0,130,0)</f>
        <v>130</v>
      </c>
      <c r="AC304" s="1"/>
      <c r="AD304" s="65">
        <f t="shared" ref="AD304:AD316" si="293">(P304+U304)-AB304</f>
        <v>-130</v>
      </c>
      <c r="AE304" s="1"/>
      <c r="AF304" s="1">
        <f t="shared" ref="AF304:AF316" si="294">IF(I304&gt;0,30*G304,0)</f>
        <v>0</v>
      </c>
      <c r="AG304" s="1">
        <f>IF(AH304&gt;0,AH169:AH310,0)</f>
        <v>0</v>
      </c>
      <c r="AH304" s="1">
        <f t="shared" ref="AH304:AH316" si="295">AD304-AF304</f>
        <v>-130</v>
      </c>
      <c r="AJ304">
        <f t="shared" ref="AJ304:AJ316" si="296">IF(T304=1,P304-U304,0)</f>
        <v>0</v>
      </c>
      <c r="AK304">
        <f t="shared" ref="AK304:AK316" si="297">IF(T304=2,P304-U304,0)</f>
        <v>0</v>
      </c>
      <c r="AL304">
        <f t="shared" ref="AL304:AL316" si="298">IF(T304=3,P304-U304,0)</f>
        <v>0</v>
      </c>
      <c r="AM304">
        <f t="shared" ref="AM304:AM316" si="299">IF(T304=4,P304-U304,0)</f>
        <v>0</v>
      </c>
      <c r="AO304">
        <f t="shared" ref="AO304:AO316" si="300">IF(T304=1,P304-U304,0)</f>
        <v>0</v>
      </c>
      <c r="AP304">
        <f t="shared" ref="AP304:AP316" si="301">IF(T304=2,P304-U304,0)</f>
        <v>0</v>
      </c>
      <c r="AQ304">
        <f t="shared" ref="AQ304:AQ316" si="302">IF(T304=3,P304-U304,0)</f>
        <v>0</v>
      </c>
      <c r="AR304">
        <f t="shared" ref="AR304:AR316" si="303">IF(T304=4,P304-U304,0)</f>
        <v>0</v>
      </c>
    </row>
    <row r="305" spans="1:45" x14ac:dyDescent="0.25">
      <c r="B305" s="8" t="s">
        <v>1018</v>
      </c>
      <c r="C305" s="78" t="s">
        <v>1017</v>
      </c>
      <c r="D305" s="78"/>
      <c r="E305" t="s">
        <v>616</v>
      </c>
      <c r="F305">
        <f t="shared" ref="F305:F315" si="304">IF(E305=$B$12,I305,0)</f>
        <v>0</v>
      </c>
      <c r="G305">
        <f t="shared" ref="G305:G315" si="305">IF(F305&gt;0,0,1)</f>
        <v>1</v>
      </c>
      <c r="H305" s="92" t="s">
        <v>1048</v>
      </c>
      <c r="I305" s="121">
        <v>7</v>
      </c>
      <c r="K305" t="s">
        <v>777</v>
      </c>
      <c r="L305" t="s">
        <v>55</v>
      </c>
      <c r="N305" s="4" t="s">
        <v>36</v>
      </c>
      <c r="P305" s="86">
        <f>2323.16-142</f>
        <v>2181.16</v>
      </c>
      <c r="Q305" s="1">
        <v>2181.16</v>
      </c>
      <c r="R305">
        <v>0</v>
      </c>
      <c r="S305" s="198" t="s">
        <v>1019</v>
      </c>
      <c r="T305" s="61"/>
      <c r="U305" s="61">
        <f t="shared" si="289"/>
        <v>0</v>
      </c>
      <c r="V305" s="7" t="str">
        <f t="shared" si="290"/>
        <v>NONE</v>
      </c>
      <c r="W305" s="56"/>
      <c r="X305" s="5" t="s">
        <v>25</v>
      </c>
      <c r="Y305" s="61">
        <f t="shared" si="262"/>
        <v>2181.16</v>
      </c>
      <c r="Z305" s="61"/>
      <c r="AA305" s="1">
        <f t="shared" si="291"/>
        <v>0</v>
      </c>
      <c r="AB305" s="1">
        <f t="shared" si="292"/>
        <v>130</v>
      </c>
      <c r="AC305" s="1"/>
      <c r="AD305" s="65">
        <f t="shared" si="293"/>
        <v>2051.16</v>
      </c>
      <c r="AE305" s="1"/>
      <c r="AF305" s="1">
        <f t="shared" si="294"/>
        <v>30</v>
      </c>
      <c r="AG305" s="1">
        <f>IF(AH305&gt;0,AH171:AH305,0)</f>
        <v>2021.1599999999999</v>
      </c>
      <c r="AH305" s="1">
        <f t="shared" si="295"/>
        <v>2021.1599999999999</v>
      </c>
      <c r="AJ305">
        <f t="shared" si="296"/>
        <v>0</v>
      </c>
      <c r="AK305">
        <f t="shared" si="297"/>
        <v>0</v>
      </c>
      <c r="AL305">
        <f t="shared" si="298"/>
        <v>0</v>
      </c>
      <c r="AM305">
        <f t="shared" si="299"/>
        <v>0</v>
      </c>
      <c r="AO305">
        <f t="shared" si="300"/>
        <v>0</v>
      </c>
      <c r="AP305">
        <f t="shared" si="301"/>
        <v>0</v>
      </c>
      <c r="AQ305">
        <f t="shared" si="302"/>
        <v>0</v>
      </c>
      <c r="AR305">
        <f t="shared" si="303"/>
        <v>0</v>
      </c>
    </row>
    <row r="306" spans="1:45" x14ac:dyDescent="0.25">
      <c r="B306" t="s">
        <v>1031</v>
      </c>
      <c r="C306" s="78" t="s">
        <v>1032</v>
      </c>
      <c r="D306" s="78"/>
      <c r="H306" t="s">
        <v>1030</v>
      </c>
      <c r="I306" s="121">
        <v>0</v>
      </c>
      <c r="K306" t="s">
        <v>777</v>
      </c>
      <c r="L306" t="s">
        <v>55</v>
      </c>
      <c r="N306" s="4" t="s">
        <v>36</v>
      </c>
      <c r="P306" s="86">
        <v>1488.53</v>
      </c>
      <c r="Q306" s="1">
        <v>744.27</v>
      </c>
      <c r="R306">
        <f>IF(P306&gt;0,((P306+500)-Q306)+U306,0)</f>
        <v>1244.26</v>
      </c>
      <c r="S306" s="198" t="s">
        <v>1019</v>
      </c>
      <c r="T306" s="61"/>
      <c r="U306" s="61">
        <f>IF(V306=$AE$2,47,IF(V306=$AE$1,ROUND(((P306+500)*0.039),0),IF(V306=$AE$3,0)))</f>
        <v>0</v>
      </c>
      <c r="V306" s="7" t="str">
        <f>IF(W306=1,$AE$2,IF(W306=2,$AE$1,IF(AND(W306&lt;&gt;1,W306&lt;&gt;20)=TRUE,$AE$3)))</f>
        <v>NONE</v>
      </c>
      <c r="W306" s="56"/>
      <c r="X306" s="5" t="s">
        <v>25</v>
      </c>
      <c r="Y306" s="61">
        <f>R306+Q306</f>
        <v>1988.53</v>
      </c>
      <c r="Z306" s="61"/>
      <c r="AA306" s="1">
        <f>IF(X306=$AA$1,R306-500,0)</f>
        <v>0</v>
      </c>
      <c r="AB306" s="1">
        <f>IF(I306&gt;0,130,0)</f>
        <v>0</v>
      </c>
      <c r="AC306" s="1"/>
      <c r="AD306" s="65">
        <f>(P306+U306)-AB306</f>
        <v>1488.53</v>
      </c>
      <c r="AE306" s="1"/>
      <c r="AF306" s="1">
        <f>IF(I306&gt;0,30*G306,0)</f>
        <v>0</v>
      </c>
      <c r="AG306" s="1">
        <f>IF(AH306&gt;0,AH169:AH306,0)</f>
        <v>1488.53</v>
      </c>
      <c r="AH306" s="1">
        <f>AD306-AF306</f>
        <v>1488.53</v>
      </c>
      <c r="AJ306">
        <f>IF(T306=1,P306-U306,0)</f>
        <v>0</v>
      </c>
      <c r="AK306">
        <f>IF(T306=2,P306-U306,0)</f>
        <v>0</v>
      </c>
      <c r="AL306">
        <f>IF(T306=3,P306-U306,0)</f>
        <v>0</v>
      </c>
      <c r="AM306">
        <f>IF(T306=4,P306-U306,0)</f>
        <v>0</v>
      </c>
      <c r="AO306">
        <f>IF(T306=1,P306-U306,0)</f>
        <v>0</v>
      </c>
      <c r="AP306">
        <f>IF(T306=2,P306-U306,0)</f>
        <v>0</v>
      </c>
      <c r="AQ306">
        <f>IF(T306=3,P306-U306,0)</f>
        <v>0</v>
      </c>
      <c r="AR306">
        <f>IF(T306=4,P306-U306,0)</f>
        <v>0</v>
      </c>
    </row>
    <row r="307" spans="1:45" x14ac:dyDescent="0.25">
      <c r="B307" s="89" t="s">
        <v>956</v>
      </c>
      <c r="C307" s="78" t="s">
        <v>929</v>
      </c>
      <c r="D307" s="78"/>
      <c r="E307" t="s">
        <v>930</v>
      </c>
      <c r="F307">
        <v>0</v>
      </c>
      <c r="G307">
        <v>1</v>
      </c>
      <c r="H307" s="121" t="s">
        <v>957</v>
      </c>
      <c r="I307" s="121">
        <v>7</v>
      </c>
      <c r="K307" t="s">
        <v>777</v>
      </c>
      <c r="L307" t="s">
        <v>55</v>
      </c>
      <c r="N307" s="4" t="s">
        <v>36</v>
      </c>
      <c r="P307" s="86">
        <v>1694</v>
      </c>
      <c r="Q307" s="1">
        <v>500</v>
      </c>
      <c r="R307">
        <f t="shared" si="288"/>
        <v>1694</v>
      </c>
      <c r="S307" s="6">
        <v>42917</v>
      </c>
      <c r="T307" s="61"/>
      <c r="U307" s="61">
        <f t="shared" si="289"/>
        <v>0</v>
      </c>
      <c r="V307" s="7" t="str">
        <f t="shared" si="290"/>
        <v>NONE</v>
      </c>
      <c r="W307" s="56"/>
      <c r="X307" s="213" t="s">
        <v>25</v>
      </c>
      <c r="Y307" s="61">
        <f t="shared" si="262"/>
        <v>2194</v>
      </c>
      <c r="Z307" s="61"/>
      <c r="AA307" s="1">
        <f t="shared" si="291"/>
        <v>0</v>
      </c>
      <c r="AB307" s="1">
        <f t="shared" si="292"/>
        <v>130</v>
      </c>
      <c r="AC307" s="1"/>
      <c r="AD307" s="65">
        <f t="shared" si="293"/>
        <v>1564</v>
      </c>
      <c r="AE307" s="1"/>
      <c r="AF307" s="1">
        <f t="shared" si="294"/>
        <v>30</v>
      </c>
      <c r="AG307" s="1">
        <f>IF(AH307&gt;0,AH169:AH307,0)</f>
        <v>1534</v>
      </c>
      <c r="AH307" s="1">
        <f t="shared" si="295"/>
        <v>1534</v>
      </c>
      <c r="AJ307">
        <f t="shared" si="296"/>
        <v>0</v>
      </c>
      <c r="AK307">
        <f t="shared" si="297"/>
        <v>0</v>
      </c>
      <c r="AL307">
        <f t="shared" si="298"/>
        <v>0</v>
      </c>
      <c r="AM307">
        <f t="shared" si="299"/>
        <v>0</v>
      </c>
      <c r="AO307">
        <f t="shared" si="300"/>
        <v>0</v>
      </c>
      <c r="AP307">
        <f t="shared" si="301"/>
        <v>0</v>
      </c>
      <c r="AQ307">
        <f t="shared" si="302"/>
        <v>0</v>
      </c>
      <c r="AR307">
        <f t="shared" si="303"/>
        <v>0</v>
      </c>
    </row>
    <row r="308" spans="1:45" x14ac:dyDescent="0.25">
      <c r="B308" s="8" t="s">
        <v>989</v>
      </c>
      <c r="C308" s="78" t="s">
        <v>1036</v>
      </c>
      <c r="D308" s="78"/>
      <c r="E308" s="121" t="s">
        <v>370</v>
      </c>
      <c r="F308" s="121">
        <f t="shared" si="304"/>
        <v>0</v>
      </c>
      <c r="G308" s="121">
        <f t="shared" si="305"/>
        <v>1</v>
      </c>
      <c r="H308" s="121" t="s">
        <v>990</v>
      </c>
      <c r="I308" s="121">
        <v>9</v>
      </c>
      <c r="K308" t="s">
        <v>991</v>
      </c>
      <c r="L308" t="s">
        <v>55</v>
      </c>
      <c r="N308" s="4" t="s">
        <v>36</v>
      </c>
      <c r="P308" s="86">
        <f>1648.11+1148.11-500</f>
        <v>2296.2199999999998</v>
      </c>
      <c r="Q308" s="1">
        <v>1148.1099999999999</v>
      </c>
      <c r="R308">
        <f>IF(P308&gt;0,((P308+500)-Q308)+U308,0)</f>
        <v>1648.11</v>
      </c>
      <c r="S308" s="136">
        <v>42983</v>
      </c>
      <c r="T308" s="61"/>
      <c r="U308" s="61">
        <f t="shared" si="289"/>
        <v>0</v>
      </c>
      <c r="V308" s="7" t="str">
        <f t="shared" si="290"/>
        <v>NONE</v>
      </c>
      <c r="W308" s="56"/>
      <c r="X308" s="5" t="s">
        <v>25</v>
      </c>
      <c r="Y308" s="61">
        <f t="shared" si="262"/>
        <v>2796.22</v>
      </c>
      <c r="Z308" s="61"/>
      <c r="AA308" s="1">
        <f t="shared" si="291"/>
        <v>0</v>
      </c>
      <c r="AB308" s="1">
        <f t="shared" si="292"/>
        <v>130</v>
      </c>
      <c r="AC308" s="1"/>
      <c r="AD308" s="65">
        <f t="shared" si="293"/>
        <v>2166.2199999999998</v>
      </c>
      <c r="AE308" s="1"/>
      <c r="AF308" s="1">
        <f t="shared" si="294"/>
        <v>30</v>
      </c>
      <c r="AG308" s="1">
        <f>IF(AH308&gt;0,AH171:AH312,0)</f>
        <v>2136.2199999999998</v>
      </c>
      <c r="AH308" s="1">
        <f t="shared" si="295"/>
        <v>2136.2199999999998</v>
      </c>
      <c r="AJ308">
        <f t="shared" si="296"/>
        <v>0</v>
      </c>
      <c r="AK308">
        <f t="shared" si="297"/>
        <v>0</v>
      </c>
      <c r="AL308">
        <f t="shared" si="298"/>
        <v>0</v>
      </c>
      <c r="AM308">
        <f t="shared" si="299"/>
        <v>0</v>
      </c>
      <c r="AO308">
        <f t="shared" si="300"/>
        <v>0</v>
      </c>
      <c r="AP308">
        <f t="shared" si="301"/>
        <v>0</v>
      </c>
      <c r="AQ308">
        <f t="shared" si="302"/>
        <v>0</v>
      </c>
      <c r="AR308">
        <f t="shared" si="303"/>
        <v>0</v>
      </c>
    </row>
    <row r="309" spans="1:45" x14ac:dyDescent="0.25">
      <c r="B309" s="82" t="s">
        <v>82</v>
      </c>
      <c r="C309" s="8" t="s">
        <v>42</v>
      </c>
      <c r="D309" s="8"/>
      <c r="E309" t="s">
        <v>42</v>
      </c>
      <c r="F309">
        <v>4</v>
      </c>
      <c r="G309">
        <v>0</v>
      </c>
      <c r="H309" s="92" t="s">
        <v>1007</v>
      </c>
      <c r="I309" s="121">
        <v>5</v>
      </c>
      <c r="L309" t="s">
        <v>55</v>
      </c>
      <c r="N309" s="4" t="s">
        <v>36</v>
      </c>
      <c r="P309" s="86">
        <v>0</v>
      </c>
      <c r="Q309" s="1">
        <f t="shared" si="258"/>
        <v>0</v>
      </c>
      <c r="R309">
        <f t="shared" si="288"/>
        <v>0</v>
      </c>
      <c r="S309" s="6"/>
      <c r="T309" s="61"/>
      <c r="U309" s="61">
        <f t="shared" si="289"/>
        <v>0</v>
      </c>
      <c r="V309" s="7" t="str">
        <f t="shared" si="290"/>
        <v>NONE</v>
      </c>
      <c r="W309" s="56"/>
      <c r="X309" s="5"/>
      <c r="Y309" s="61">
        <f t="shared" si="262"/>
        <v>0</v>
      </c>
      <c r="Z309" s="61"/>
      <c r="AA309" s="1">
        <f t="shared" si="291"/>
        <v>0</v>
      </c>
      <c r="AB309" s="1">
        <f t="shared" si="292"/>
        <v>130</v>
      </c>
      <c r="AC309" s="1"/>
      <c r="AD309" s="65">
        <f t="shared" si="293"/>
        <v>-130</v>
      </c>
      <c r="AE309" s="1"/>
      <c r="AF309" s="1">
        <f t="shared" si="294"/>
        <v>0</v>
      </c>
      <c r="AG309" s="1">
        <f>IF(AH309&gt;0,AH172:AH309,0)</f>
        <v>0</v>
      </c>
      <c r="AH309" s="1">
        <f t="shared" si="295"/>
        <v>-130</v>
      </c>
      <c r="AJ309">
        <f t="shared" si="296"/>
        <v>0</v>
      </c>
      <c r="AK309">
        <f t="shared" si="297"/>
        <v>0</v>
      </c>
      <c r="AL309">
        <f t="shared" si="298"/>
        <v>0</v>
      </c>
      <c r="AM309">
        <f t="shared" si="299"/>
        <v>0</v>
      </c>
      <c r="AO309">
        <f t="shared" si="300"/>
        <v>0</v>
      </c>
      <c r="AP309">
        <f t="shared" si="301"/>
        <v>0</v>
      </c>
      <c r="AQ309">
        <f t="shared" si="302"/>
        <v>0</v>
      </c>
      <c r="AR309">
        <f t="shared" si="303"/>
        <v>0</v>
      </c>
    </row>
    <row r="310" spans="1:45" x14ac:dyDescent="0.25">
      <c r="I310" s="121">
        <v>0</v>
      </c>
      <c r="L310" t="s">
        <v>55</v>
      </c>
      <c r="N310" s="4" t="s">
        <v>36</v>
      </c>
      <c r="P310" s="86">
        <v>0</v>
      </c>
      <c r="Q310" s="1">
        <f t="shared" si="258"/>
        <v>0</v>
      </c>
      <c r="R310">
        <f t="shared" si="288"/>
        <v>0</v>
      </c>
      <c r="S310" s="6"/>
      <c r="T310" s="61"/>
      <c r="U310" s="61">
        <f t="shared" si="289"/>
        <v>0</v>
      </c>
      <c r="V310" s="7" t="str">
        <f t="shared" si="290"/>
        <v>NONE</v>
      </c>
      <c r="W310" s="56"/>
      <c r="X310" s="5"/>
      <c r="Y310" s="61">
        <f t="shared" si="262"/>
        <v>0</v>
      </c>
      <c r="Z310" s="61"/>
      <c r="AA310" s="1">
        <f t="shared" si="291"/>
        <v>0</v>
      </c>
      <c r="AB310" s="1">
        <f t="shared" si="292"/>
        <v>0</v>
      </c>
      <c r="AC310" s="1"/>
      <c r="AD310" s="65">
        <f t="shared" si="293"/>
        <v>0</v>
      </c>
      <c r="AE310" s="1"/>
      <c r="AF310" s="1">
        <f t="shared" si="294"/>
        <v>0</v>
      </c>
      <c r="AG310" s="1">
        <f>IF(AH310&gt;0,AH173:AH310,0)</f>
        <v>0</v>
      </c>
      <c r="AH310" s="1">
        <f t="shared" si="295"/>
        <v>0</v>
      </c>
      <c r="AJ310">
        <f t="shared" si="296"/>
        <v>0</v>
      </c>
      <c r="AK310">
        <f t="shared" si="297"/>
        <v>0</v>
      </c>
      <c r="AL310">
        <f t="shared" si="298"/>
        <v>0</v>
      </c>
      <c r="AM310">
        <f t="shared" si="299"/>
        <v>0</v>
      </c>
      <c r="AO310">
        <f t="shared" si="300"/>
        <v>0</v>
      </c>
      <c r="AP310">
        <f t="shared" si="301"/>
        <v>0</v>
      </c>
      <c r="AQ310">
        <f t="shared" si="302"/>
        <v>0</v>
      </c>
      <c r="AR310">
        <f t="shared" si="303"/>
        <v>0</v>
      </c>
    </row>
    <row r="311" spans="1:45" x14ac:dyDescent="0.25">
      <c r="B311" s="8"/>
      <c r="F311">
        <f t="shared" si="304"/>
        <v>0</v>
      </c>
      <c r="G311">
        <f t="shared" si="305"/>
        <v>1</v>
      </c>
      <c r="H311" s="121"/>
      <c r="I311" s="121">
        <v>0</v>
      </c>
      <c r="L311" t="s">
        <v>55</v>
      </c>
      <c r="N311" s="4" t="s">
        <v>36</v>
      </c>
      <c r="P311" s="86">
        <v>0</v>
      </c>
      <c r="Q311" s="1">
        <f t="shared" si="258"/>
        <v>0</v>
      </c>
      <c r="R311">
        <f t="shared" si="288"/>
        <v>0</v>
      </c>
      <c r="S311" s="6"/>
      <c r="T311" s="61"/>
      <c r="U311" s="61">
        <f t="shared" si="289"/>
        <v>0</v>
      </c>
      <c r="V311" s="7" t="str">
        <f t="shared" si="290"/>
        <v>NONE</v>
      </c>
      <c r="W311" s="56"/>
      <c r="X311" s="5"/>
      <c r="Y311" s="61">
        <f t="shared" si="262"/>
        <v>0</v>
      </c>
      <c r="Z311" s="61"/>
      <c r="AA311" s="1">
        <f t="shared" si="291"/>
        <v>0</v>
      </c>
      <c r="AB311" s="1">
        <f t="shared" si="292"/>
        <v>0</v>
      </c>
      <c r="AC311" s="1"/>
      <c r="AD311" s="65">
        <f t="shared" si="293"/>
        <v>0</v>
      </c>
      <c r="AE311" s="1"/>
      <c r="AF311" s="1">
        <f t="shared" si="294"/>
        <v>0</v>
      </c>
      <c r="AG311" s="1">
        <f>IF(AH311&gt;0,AH179:AH311,0)</f>
        <v>0</v>
      </c>
      <c r="AH311" s="1">
        <f t="shared" si="295"/>
        <v>0</v>
      </c>
      <c r="AJ311">
        <f t="shared" si="296"/>
        <v>0</v>
      </c>
      <c r="AK311">
        <f t="shared" si="297"/>
        <v>0</v>
      </c>
      <c r="AL311">
        <f t="shared" si="298"/>
        <v>0</v>
      </c>
      <c r="AM311">
        <f t="shared" si="299"/>
        <v>0</v>
      </c>
      <c r="AO311">
        <f t="shared" si="300"/>
        <v>0</v>
      </c>
      <c r="AP311">
        <f t="shared" si="301"/>
        <v>0</v>
      </c>
      <c r="AQ311">
        <f t="shared" si="302"/>
        <v>0</v>
      </c>
      <c r="AR311">
        <f t="shared" si="303"/>
        <v>0</v>
      </c>
    </row>
    <row r="312" spans="1:45" x14ac:dyDescent="0.25">
      <c r="B312" s="8"/>
      <c r="C312" s="8"/>
      <c r="D312" s="8"/>
      <c r="F312">
        <f t="shared" si="304"/>
        <v>0</v>
      </c>
      <c r="G312">
        <f t="shared" si="305"/>
        <v>1</v>
      </c>
      <c r="I312" s="121">
        <v>0</v>
      </c>
      <c r="L312" t="s">
        <v>55</v>
      </c>
      <c r="N312" s="4" t="s">
        <v>36</v>
      </c>
      <c r="P312" s="86">
        <v>0</v>
      </c>
      <c r="Q312" s="1">
        <f t="shared" si="258"/>
        <v>0</v>
      </c>
      <c r="R312">
        <f t="shared" si="288"/>
        <v>0</v>
      </c>
      <c r="S312" s="6"/>
      <c r="T312" s="61"/>
      <c r="U312" s="61">
        <f t="shared" si="289"/>
        <v>0</v>
      </c>
      <c r="V312" s="7" t="str">
        <f t="shared" si="290"/>
        <v>NONE</v>
      </c>
      <c r="W312" s="56"/>
      <c r="X312" s="5"/>
      <c r="Y312" s="61">
        <f t="shared" si="262"/>
        <v>0</v>
      </c>
      <c r="Z312" s="61"/>
      <c r="AA312" s="1">
        <f t="shared" si="291"/>
        <v>0</v>
      </c>
      <c r="AB312" s="1">
        <f t="shared" si="292"/>
        <v>0</v>
      </c>
      <c r="AC312" s="1"/>
      <c r="AD312" s="65">
        <f t="shared" si="293"/>
        <v>0</v>
      </c>
      <c r="AE312" s="1"/>
      <c r="AF312" s="1">
        <f t="shared" si="294"/>
        <v>0</v>
      </c>
      <c r="AG312" s="1">
        <f>IF(AH312&gt;0,AH180:AH312,0)</f>
        <v>0</v>
      </c>
      <c r="AH312" s="1">
        <f t="shared" si="295"/>
        <v>0</v>
      </c>
      <c r="AJ312">
        <f t="shared" si="296"/>
        <v>0</v>
      </c>
      <c r="AK312">
        <f t="shared" si="297"/>
        <v>0</v>
      </c>
      <c r="AL312">
        <f t="shared" si="298"/>
        <v>0</v>
      </c>
      <c r="AM312">
        <f t="shared" si="299"/>
        <v>0</v>
      </c>
      <c r="AO312">
        <f t="shared" si="300"/>
        <v>0</v>
      </c>
      <c r="AP312">
        <f t="shared" si="301"/>
        <v>0</v>
      </c>
      <c r="AQ312">
        <f t="shared" si="302"/>
        <v>0</v>
      </c>
      <c r="AR312">
        <f t="shared" si="303"/>
        <v>0</v>
      </c>
    </row>
    <row r="313" spans="1:45" x14ac:dyDescent="0.25">
      <c r="B313" s="8" t="s">
        <v>980</v>
      </c>
      <c r="C313" t="s">
        <v>839</v>
      </c>
      <c r="E313" t="s">
        <v>370</v>
      </c>
      <c r="F313">
        <v>0</v>
      </c>
      <c r="G313">
        <v>1</v>
      </c>
      <c r="H313" t="s">
        <v>982</v>
      </c>
      <c r="I313" s="121">
        <v>14</v>
      </c>
      <c r="K313" t="s">
        <v>526</v>
      </c>
      <c r="L313" t="s">
        <v>55</v>
      </c>
      <c r="N313" s="4" t="s">
        <v>36</v>
      </c>
      <c r="P313" s="86">
        <v>3500</v>
      </c>
      <c r="Q313" s="1">
        <f>ROUND((P313*0.4),0)</f>
        <v>1400</v>
      </c>
      <c r="R313">
        <f>IF(P313&gt;0,((P313+500)-Q313)+U313,0)</f>
        <v>2600</v>
      </c>
      <c r="S313" s="6" t="s">
        <v>983</v>
      </c>
      <c r="T313" s="61"/>
      <c r="U313" s="61">
        <f t="shared" si="289"/>
        <v>0</v>
      </c>
      <c r="V313" s="7" t="str">
        <f t="shared" si="290"/>
        <v>NONE</v>
      </c>
      <c r="W313" s="56"/>
      <c r="X313" s="5" t="s">
        <v>1065</v>
      </c>
      <c r="Y313" s="61">
        <f t="shared" si="262"/>
        <v>4000</v>
      </c>
      <c r="Z313" s="61"/>
      <c r="AA313" s="1">
        <f t="shared" si="291"/>
        <v>0</v>
      </c>
      <c r="AB313" s="1">
        <f t="shared" si="292"/>
        <v>130</v>
      </c>
      <c r="AC313" s="1"/>
      <c r="AD313" s="65">
        <f t="shared" si="293"/>
        <v>3370</v>
      </c>
      <c r="AE313" s="1"/>
      <c r="AF313" s="1">
        <f t="shared" si="294"/>
        <v>30</v>
      </c>
      <c r="AG313" s="1">
        <f>IF(AH313&gt;0,AH179:AH313,0)</f>
        <v>3340</v>
      </c>
      <c r="AH313" s="1">
        <f t="shared" si="295"/>
        <v>3340</v>
      </c>
      <c r="AJ313">
        <f t="shared" si="296"/>
        <v>0</v>
      </c>
      <c r="AK313">
        <f t="shared" si="297"/>
        <v>0</v>
      </c>
      <c r="AL313">
        <f t="shared" si="298"/>
        <v>0</v>
      </c>
      <c r="AM313">
        <f t="shared" si="299"/>
        <v>0</v>
      </c>
      <c r="AO313">
        <f t="shared" si="300"/>
        <v>0</v>
      </c>
      <c r="AP313">
        <f t="shared" si="301"/>
        <v>0</v>
      </c>
      <c r="AQ313">
        <f t="shared" si="302"/>
        <v>0</v>
      </c>
      <c r="AR313">
        <f t="shared" si="303"/>
        <v>0</v>
      </c>
    </row>
    <row r="314" spans="1:45" x14ac:dyDescent="0.25">
      <c r="B314" s="8" t="s">
        <v>1021</v>
      </c>
      <c r="C314" t="s">
        <v>1022</v>
      </c>
      <c r="F314">
        <f t="shared" si="304"/>
        <v>0</v>
      </c>
      <c r="G314">
        <f t="shared" si="305"/>
        <v>1</v>
      </c>
      <c r="H314" s="121" t="s">
        <v>1020</v>
      </c>
      <c r="I314" s="121">
        <v>8</v>
      </c>
      <c r="K314" t="s">
        <v>1023</v>
      </c>
      <c r="L314" t="s">
        <v>55</v>
      </c>
      <c r="N314" s="4" t="s">
        <v>36</v>
      </c>
      <c r="P314" s="86">
        <v>1875.79</v>
      </c>
      <c r="Q314" s="1">
        <v>937.9</v>
      </c>
      <c r="R314">
        <f t="shared" si="288"/>
        <v>1437.8899999999999</v>
      </c>
      <c r="S314" s="6">
        <v>43018</v>
      </c>
      <c r="T314" s="61"/>
      <c r="U314" s="61">
        <f t="shared" si="289"/>
        <v>0</v>
      </c>
      <c r="V314" s="7" t="str">
        <f t="shared" si="290"/>
        <v>NONE</v>
      </c>
      <c r="W314" s="56"/>
      <c r="X314" s="157" t="s">
        <v>958</v>
      </c>
      <c r="Y314" s="61">
        <f t="shared" si="262"/>
        <v>2375.79</v>
      </c>
      <c r="Z314" s="61"/>
      <c r="AA314" s="1">
        <f t="shared" si="291"/>
        <v>0</v>
      </c>
      <c r="AB314" s="1">
        <f t="shared" si="292"/>
        <v>130</v>
      </c>
      <c r="AC314" s="1"/>
      <c r="AD314" s="65">
        <f t="shared" si="293"/>
        <v>1745.79</v>
      </c>
      <c r="AE314" s="1"/>
      <c r="AF314" s="1">
        <f t="shared" si="294"/>
        <v>30</v>
      </c>
      <c r="AG314" s="1">
        <f>IF(AH314&gt;0,AH181:AH314,0)</f>
        <v>1715.79</v>
      </c>
      <c r="AH314" s="1">
        <f t="shared" si="295"/>
        <v>1715.79</v>
      </c>
      <c r="AJ314">
        <f t="shared" si="296"/>
        <v>0</v>
      </c>
      <c r="AK314">
        <f t="shared" si="297"/>
        <v>0</v>
      </c>
      <c r="AL314">
        <f t="shared" si="298"/>
        <v>0</v>
      </c>
      <c r="AM314">
        <f t="shared" si="299"/>
        <v>0</v>
      </c>
      <c r="AO314">
        <f t="shared" si="300"/>
        <v>0</v>
      </c>
      <c r="AP314">
        <f t="shared" si="301"/>
        <v>0</v>
      </c>
      <c r="AQ314">
        <f t="shared" si="302"/>
        <v>0</v>
      </c>
      <c r="AR314">
        <f t="shared" si="303"/>
        <v>0</v>
      </c>
    </row>
    <row r="315" spans="1:45" x14ac:dyDescent="0.25">
      <c r="B315" s="8"/>
      <c r="C315" s="8"/>
      <c r="D315" s="8"/>
      <c r="F315">
        <f t="shared" si="304"/>
        <v>0</v>
      </c>
      <c r="G315">
        <f t="shared" si="305"/>
        <v>1</v>
      </c>
      <c r="I315" s="121">
        <v>0</v>
      </c>
      <c r="L315" t="s">
        <v>55</v>
      </c>
      <c r="N315" s="4" t="s">
        <v>36</v>
      </c>
      <c r="P315" s="86">
        <v>0</v>
      </c>
      <c r="Q315" s="1">
        <f t="shared" si="258"/>
        <v>0</v>
      </c>
      <c r="R315">
        <f t="shared" si="288"/>
        <v>0</v>
      </c>
      <c r="S315" s="6"/>
      <c r="T315" s="61"/>
      <c r="U315" s="61">
        <f t="shared" si="289"/>
        <v>0</v>
      </c>
      <c r="V315" s="7" t="str">
        <f t="shared" si="290"/>
        <v>NONE</v>
      </c>
      <c r="W315" s="56"/>
      <c r="X315" s="5"/>
      <c r="Y315" s="61">
        <f t="shared" si="262"/>
        <v>0</v>
      </c>
      <c r="Z315" s="61"/>
      <c r="AA315" s="1">
        <f t="shared" si="291"/>
        <v>0</v>
      </c>
      <c r="AB315" s="1">
        <f t="shared" si="292"/>
        <v>0</v>
      </c>
      <c r="AC315" s="1"/>
      <c r="AD315" s="65">
        <f t="shared" si="293"/>
        <v>0</v>
      </c>
      <c r="AE315" s="1"/>
      <c r="AF315" s="1">
        <f t="shared" si="294"/>
        <v>0</v>
      </c>
      <c r="AG315" s="1">
        <f>IF(AH315&gt;0,AH181:AH315,0)</f>
        <v>0</v>
      </c>
      <c r="AH315" s="1">
        <f t="shared" si="295"/>
        <v>0</v>
      </c>
      <c r="AJ315">
        <f t="shared" si="296"/>
        <v>0</v>
      </c>
      <c r="AK315">
        <f t="shared" si="297"/>
        <v>0</v>
      </c>
      <c r="AL315">
        <f t="shared" si="298"/>
        <v>0</v>
      </c>
      <c r="AM315">
        <f t="shared" si="299"/>
        <v>0</v>
      </c>
      <c r="AO315">
        <f t="shared" si="300"/>
        <v>0</v>
      </c>
      <c r="AP315">
        <f t="shared" si="301"/>
        <v>0</v>
      </c>
      <c r="AQ315">
        <f t="shared" si="302"/>
        <v>0</v>
      </c>
      <c r="AR315">
        <f t="shared" si="303"/>
        <v>0</v>
      </c>
    </row>
    <row r="316" spans="1:45" x14ac:dyDescent="0.25">
      <c r="B316" t="s">
        <v>82</v>
      </c>
      <c r="C316" t="s">
        <v>967</v>
      </c>
      <c r="E316" t="s">
        <v>42</v>
      </c>
      <c r="F316">
        <f>IF(E316=$B$12,I316,0)</f>
        <v>13</v>
      </c>
      <c r="G316">
        <f>IF(F316&gt;0,0,1)</f>
        <v>0</v>
      </c>
      <c r="H316" t="s">
        <v>965</v>
      </c>
      <c r="I316" s="121">
        <v>13</v>
      </c>
      <c r="N316" s="4" t="s">
        <v>36</v>
      </c>
      <c r="P316" s="86">
        <v>0</v>
      </c>
      <c r="Q316" s="1">
        <f t="shared" si="258"/>
        <v>0</v>
      </c>
      <c r="R316">
        <f t="shared" si="288"/>
        <v>0</v>
      </c>
      <c r="S316" s="6"/>
      <c r="T316" s="61"/>
      <c r="U316" s="61">
        <f t="shared" si="289"/>
        <v>0</v>
      </c>
      <c r="V316" s="7" t="str">
        <f t="shared" si="290"/>
        <v>NONE</v>
      </c>
      <c r="W316" s="56"/>
      <c r="X316" s="5"/>
      <c r="Y316" s="61">
        <f t="shared" si="262"/>
        <v>0</v>
      </c>
      <c r="Z316" s="61"/>
      <c r="AA316" s="1">
        <f t="shared" si="291"/>
        <v>0</v>
      </c>
      <c r="AB316" s="1">
        <f t="shared" si="292"/>
        <v>130</v>
      </c>
      <c r="AC316" s="1"/>
      <c r="AD316" s="65">
        <f t="shared" si="293"/>
        <v>-130</v>
      </c>
      <c r="AE316" s="1"/>
      <c r="AF316" s="1">
        <f t="shared" si="294"/>
        <v>0</v>
      </c>
      <c r="AG316" s="1">
        <f>IF(AH316&gt;0,AH180:AH316,0)</f>
        <v>0</v>
      </c>
      <c r="AH316" s="1">
        <f t="shared" si="295"/>
        <v>-130</v>
      </c>
      <c r="AJ316">
        <f t="shared" si="296"/>
        <v>0</v>
      </c>
      <c r="AK316">
        <f t="shared" si="297"/>
        <v>0</v>
      </c>
      <c r="AL316">
        <f t="shared" si="298"/>
        <v>0</v>
      </c>
      <c r="AM316">
        <f t="shared" si="299"/>
        <v>0</v>
      </c>
      <c r="AO316">
        <f t="shared" si="300"/>
        <v>0</v>
      </c>
      <c r="AP316">
        <f t="shared" si="301"/>
        <v>0</v>
      </c>
      <c r="AQ316">
        <f t="shared" si="302"/>
        <v>0</v>
      </c>
      <c r="AR316">
        <f t="shared" si="303"/>
        <v>0</v>
      </c>
    </row>
    <row r="317" spans="1:45" x14ac:dyDescent="0.25">
      <c r="A317" s="40"/>
      <c r="B317" s="155">
        <f>COUNTIFS(E$275:E316,"&lt;&gt;NA")-COUNTIFS(E$275:E316,"="&amp;E1)</f>
        <v>16</v>
      </c>
      <c r="C317" s="140" t="s">
        <v>472</v>
      </c>
      <c r="D317" s="140"/>
      <c r="E317" s="40">
        <f>SUM(F275:F316)</f>
        <v>77</v>
      </c>
      <c r="F317" s="40"/>
      <c r="G317" s="40"/>
      <c r="H317" s="54" t="s">
        <v>215</v>
      </c>
      <c r="I317" s="53">
        <f>SUM(I275:I316)-SUM(F275:F316)</f>
        <v>193</v>
      </c>
      <c r="J317" s="53"/>
      <c r="K317" s="52">
        <f>ROUND(I317/7,0)</f>
        <v>28</v>
      </c>
      <c r="L317" s="52" t="s">
        <v>214</v>
      </c>
      <c r="M317" s="54" t="s">
        <v>216</v>
      </c>
      <c r="N317" s="123">
        <f>ROUND(AG317/K317,0)</f>
        <v>1855</v>
      </c>
      <c r="O317" s="40"/>
      <c r="P317" s="71">
        <f>SUM(P275:P316)</f>
        <v>54897.409999999996</v>
      </c>
      <c r="Q317" s="43"/>
      <c r="R317" s="69">
        <f>AA317</f>
        <v>0</v>
      </c>
      <c r="S317" s="68" t="s">
        <v>254</v>
      </c>
      <c r="T317" s="101"/>
      <c r="U317" s="62"/>
      <c r="V317" s="42"/>
      <c r="W317" s="42"/>
      <c r="X317" s="41"/>
      <c r="Y317" s="43"/>
      <c r="Z317" s="43">
        <f>AA317</f>
        <v>0</v>
      </c>
      <c r="AA317" s="43">
        <f>SUM(AA275:AA316)</f>
        <v>0</v>
      </c>
      <c r="AB317" s="43">
        <f>SUM(AB275:AB316)</f>
        <v>3900</v>
      </c>
      <c r="AC317" s="43">
        <f>AB317</f>
        <v>3900</v>
      </c>
      <c r="AD317" s="40"/>
      <c r="AE317" s="43"/>
      <c r="AF317" s="43">
        <f>SUM(AF275:AF316)</f>
        <v>600</v>
      </c>
      <c r="AG317" s="43">
        <f>SUM(AG275:AG316)</f>
        <v>51950.409999999996</v>
      </c>
      <c r="AH317" s="71">
        <f>SUM(AH275:AH316)</f>
        <v>50650.409999999996</v>
      </c>
      <c r="AI317" s="40">
        <f>AH317</f>
        <v>50650.409999999996</v>
      </c>
      <c r="AJ317" s="104">
        <f>SUM(AJ275:AJ316)</f>
        <v>0</v>
      </c>
      <c r="AK317" s="104">
        <f>SUM(AK275:AK316)</f>
        <v>0</v>
      </c>
      <c r="AL317" s="104">
        <f>SUM(AL275:AL316)</f>
        <v>0</v>
      </c>
      <c r="AM317" s="104">
        <f>SUM(AM275:AM316)</f>
        <v>0</v>
      </c>
      <c r="AN317" s="106">
        <f>SUM(AJ317:AM317)</f>
        <v>0</v>
      </c>
      <c r="AO317" s="104">
        <f>SUM(AO275:AO316)</f>
        <v>0</v>
      </c>
      <c r="AP317" s="104">
        <f>SUM(AP275:AP316)</f>
        <v>0</v>
      </c>
      <c r="AQ317" s="104">
        <f>SUM(AQ275:AQ316)</f>
        <v>0</v>
      </c>
      <c r="AR317" s="104">
        <f>SUM(AR275:AR316)</f>
        <v>0</v>
      </c>
      <c r="AS317" s="106">
        <f>SUM(AO317:AR317)</f>
        <v>0</v>
      </c>
    </row>
    <row r="318" spans="1:45" ht="21" customHeight="1" x14ac:dyDescent="0.35">
      <c r="A318" s="105"/>
      <c r="B318" s="122">
        <v>2018</v>
      </c>
      <c r="C318" s="107"/>
      <c r="D318" s="107"/>
      <c r="E318" s="105"/>
      <c r="F318" s="105"/>
      <c r="G318" s="105"/>
      <c r="H318" s="108"/>
      <c r="I318" s="109"/>
      <c r="J318" s="109"/>
      <c r="K318" s="110"/>
      <c r="L318" s="110"/>
      <c r="M318" s="108"/>
      <c r="N318" s="111"/>
      <c r="O318" s="105"/>
      <c r="P318" s="112"/>
      <c r="Q318" s="113"/>
      <c r="R318" s="114"/>
      <c r="S318" s="115"/>
      <c r="T318" s="116"/>
      <c r="U318" s="117"/>
      <c r="V318" s="118"/>
      <c r="W318" s="118"/>
      <c r="X318" s="119"/>
      <c r="Y318" s="113"/>
      <c r="Z318" s="113"/>
      <c r="AA318" s="113"/>
      <c r="AB318" s="113"/>
      <c r="AC318" s="113"/>
      <c r="AD318" s="105"/>
      <c r="AE318" s="113"/>
      <c r="AF318" s="113"/>
      <c r="AG318" s="113"/>
      <c r="AH318" s="112"/>
      <c r="AI318" s="105"/>
      <c r="AJ318" s="96">
        <f>ROUNDUP(AJ317*0.04,0)</f>
        <v>0</v>
      </c>
      <c r="AK318" s="96">
        <f>ROUNDUP(AK317*0.04,0)</f>
        <v>0</v>
      </c>
      <c r="AL318" s="96">
        <f>ROUNDUP(AL317*0.04,0)</f>
        <v>0</v>
      </c>
      <c r="AM318" s="96">
        <f>ROUNDUP(AM317*0.04,0)</f>
        <v>0</v>
      </c>
      <c r="AN318" s="106">
        <f>SUM(AJ318:AM318)</f>
        <v>0</v>
      </c>
      <c r="AO318" s="96">
        <f>ROUNDUP(AO317*0.06,0)</f>
        <v>0</v>
      </c>
      <c r="AP318" s="96">
        <f>ROUNDUP(AP317*0.06,0)</f>
        <v>0</v>
      </c>
      <c r="AQ318" s="96">
        <f>ROUNDUP(AQ317*0.06,0)</f>
        <v>0</v>
      </c>
      <c r="AR318" s="96">
        <f>ROUNDUP(AR317*0.06,0)</f>
        <v>0</v>
      </c>
      <c r="AS318" s="106">
        <f>SUM(AO318:AR318)</f>
        <v>0</v>
      </c>
    </row>
    <row r="319" spans="1:45" x14ac:dyDescent="0.25">
      <c r="B319" s="8" t="s">
        <v>1059</v>
      </c>
      <c r="C319" s="78" t="s">
        <v>1058</v>
      </c>
      <c r="D319" s="78"/>
      <c r="E319" t="s">
        <v>370</v>
      </c>
      <c r="F319">
        <f>IF(E319=$B$12,I319,0)</f>
        <v>0</v>
      </c>
      <c r="G319">
        <f>IF(F319&gt;0,0,1)</f>
        <v>1</v>
      </c>
      <c r="H319" t="s">
        <v>1057</v>
      </c>
      <c r="I319" s="121">
        <v>5</v>
      </c>
      <c r="K319" t="s">
        <v>1060</v>
      </c>
      <c r="N319" s="4" t="s">
        <v>36</v>
      </c>
      <c r="P319" s="86">
        <f>2687.83-500</f>
        <v>2187.83</v>
      </c>
      <c r="Q319" s="1">
        <f>ROUND((P319*0),0)</f>
        <v>0</v>
      </c>
      <c r="R319">
        <f t="shared" ref="R319:R365" si="306">IF(P319&gt;0,((P319+500)-Q319)+U319,0)</f>
        <v>2687.83</v>
      </c>
      <c r="S319" s="6"/>
      <c r="T319" s="61"/>
      <c r="U319" s="61">
        <f t="shared" ref="U319:U331" si="307">IF(V319=$AE$2,47,IF(V319=$AE$1,ROUND(((P319+500)*0.039),0),IF(V319=$AE$3,0)))</f>
        <v>0</v>
      </c>
      <c r="V319" s="7" t="str">
        <f t="shared" ref="V319:V325" si="308">IF(W319=1,$AE$2,IF(W319=2,$AE$1,IF(AND(W319&lt;&gt;1,W319&lt;&gt;20)=TRUE,$AE$3)))</f>
        <v>NONE</v>
      </c>
      <c r="W319" s="56"/>
      <c r="X319" s="121" t="s">
        <v>25</v>
      </c>
      <c r="Y319" s="61">
        <f>R319+Q319</f>
        <v>2687.83</v>
      </c>
      <c r="Z319" s="61"/>
      <c r="AA319" s="1">
        <f>IF(X319=$AA$1,R319-500,0)</f>
        <v>0</v>
      </c>
      <c r="AB319" s="1">
        <f t="shared" ref="AB319:AB325" si="309">IF(I319&gt;0,130,0)</f>
        <v>130</v>
      </c>
      <c r="AC319" s="1"/>
      <c r="AD319" s="65">
        <f t="shared" ref="AD319:AD325" si="310">(P319+U319)-AB319</f>
        <v>2057.83</v>
      </c>
      <c r="AE319" s="1"/>
      <c r="AF319" s="1">
        <f t="shared" ref="AF319:AF325" si="311">IF(I319&gt;0,30*G319,0)</f>
        <v>30</v>
      </c>
      <c r="AG319" s="1">
        <f>IF(AH319&gt;0,AH208:AH319,0)</f>
        <v>2027.83</v>
      </c>
      <c r="AH319" s="1">
        <f t="shared" ref="AH319:AH324" si="312">AD319-AF319</f>
        <v>2027.83</v>
      </c>
      <c r="AJ319">
        <f t="shared" ref="AJ319:AJ324" si="313">IF(T319=1,P319-U319,0)</f>
        <v>0</v>
      </c>
      <c r="AK319">
        <f t="shared" ref="AK319:AK324" si="314">IF(T319=2,P319-U319,0)</f>
        <v>0</v>
      </c>
      <c r="AL319">
        <f t="shared" ref="AL319:AL324" si="315">IF(T319=3,P319-U319,0)</f>
        <v>0</v>
      </c>
      <c r="AM319">
        <f t="shared" ref="AM319:AM324" si="316">IF(T319=4,P319-U319,0)</f>
        <v>0</v>
      </c>
      <c r="AO319">
        <f t="shared" ref="AO319:AO324" si="317">IF(T319=1,P319-U319,0)</f>
        <v>0</v>
      </c>
      <c r="AP319">
        <f t="shared" ref="AP319:AP324" si="318">IF(T319=2,P319-U319,0)</f>
        <v>0</v>
      </c>
      <c r="AQ319">
        <f t="shared" ref="AQ319:AQ324" si="319">IF(T319=3,P319-U319,0)</f>
        <v>0</v>
      </c>
      <c r="AR319">
        <f t="shared" ref="AR319:AR324" si="320">IF(T319=4,P319-U319,0)</f>
        <v>0</v>
      </c>
    </row>
    <row r="320" spans="1:45" ht="15.75" x14ac:dyDescent="0.25">
      <c r="B320" s="187" t="s">
        <v>1062</v>
      </c>
      <c r="C320" s="78" t="s">
        <v>1061</v>
      </c>
      <c r="D320" s="78"/>
      <c r="E320" t="s">
        <v>370</v>
      </c>
      <c r="F320">
        <f t="shared" ref="F320:F365" si="321">IF(E320=$B$12,I320,0)</f>
        <v>0</v>
      </c>
      <c r="G320">
        <f t="shared" ref="G320:G365" si="322">IF(F320&gt;0,0,1)</f>
        <v>1</v>
      </c>
      <c r="H320" t="s">
        <v>1063</v>
      </c>
      <c r="I320" s="121">
        <v>5</v>
      </c>
      <c r="K320" t="s">
        <v>1064</v>
      </c>
      <c r="N320" s="4" t="s">
        <v>36</v>
      </c>
      <c r="P320" s="86">
        <v>2417.63</v>
      </c>
      <c r="Q320" s="1">
        <f>ROUND((P320*0),0)</f>
        <v>0</v>
      </c>
      <c r="R320">
        <f t="shared" si="306"/>
        <v>2917.63</v>
      </c>
      <c r="S320" s="6"/>
      <c r="T320" s="61"/>
      <c r="U320" s="61">
        <f t="shared" si="307"/>
        <v>0</v>
      </c>
      <c r="V320" s="7" t="str">
        <f t="shared" si="308"/>
        <v>NONE</v>
      </c>
      <c r="W320" s="56"/>
      <c r="X320" s="5" t="s">
        <v>1076</v>
      </c>
      <c r="Y320" s="61">
        <f t="shared" ref="Y320:Y365" si="323">R320+Q320</f>
        <v>2917.63</v>
      </c>
      <c r="Z320" s="61"/>
      <c r="AA320" s="1">
        <f t="shared" ref="AA320:AA325" si="324">IF(X320=$AA$1,R320-500,0)</f>
        <v>0</v>
      </c>
      <c r="AB320" s="1">
        <f t="shared" si="309"/>
        <v>130</v>
      </c>
      <c r="AC320" s="1"/>
      <c r="AD320" s="65">
        <f t="shared" si="310"/>
        <v>2287.63</v>
      </c>
      <c r="AE320" s="1"/>
      <c r="AF320" s="1">
        <f t="shared" si="311"/>
        <v>30</v>
      </c>
      <c r="AG320" s="1">
        <f>IF(AH320&gt;0,AH192:AH320,0)</f>
        <v>2257.63</v>
      </c>
      <c r="AH320" s="1">
        <f t="shared" si="312"/>
        <v>2257.63</v>
      </c>
      <c r="AJ320">
        <f t="shared" si="313"/>
        <v>0</v>
      </c>
      <c r="AK320">
        <f t="shared" si="314"/>
        <v>0</v>
      </c>
      <c r="AL320">
        <f t="shared" si="315"/>
        <v>0</v>
      </c>
      <c r="AM320">
        <f t="shared" si="316"/>
        <v>0</v>
      </c>
      <c r="AO320">
        <f t="shared" si="317"/>
        <v>0</v>
      </c>
      <c r="AP320">
        <f t="shared" si="318"/>
        <v>0</v>
      </c>
      <c r="AQ320">
        <f t="shared" si="319"/>
        <v>0</v>
      </c>
      <c r="AR320">
        <f t="shared" si="320"/>
        <v>0</v>
      </c>
    </row>
    <row r="321" spans="2:44" x14ac:dyDescent="0.25">
      <c r="B321" s="82" t="s">
        <v>82</v>
      </c>
      <c r="C321" s="8"/>
      <c r="D321" s="8"/>
      <c r="E321" t="s">
        <v>42</v>
      </c>
      <c r="F321">
        <f t="shared" si="321"/>
        <v>3</v>
      </c>
      <c r="G321">
        <f t="shared" si="322"/>
        <v>0</v>
      </c>
      <c r="H321" s="121" t="s">
        <v>966</v>
      </c>
      <c r="I321" s="121">
        <v>3</v>
      </c>
      <c r="N321" s="4" t="s">
        <v>36</v>
      </c>
      <c r="P321" s="86">
        <v>0</v>
      </c>
      <c r="Q321" s="1">
        <f>ROUND((P321*0.4),0)</f>
        <v>0</v>
      </c>
      <c r="R321">
        <f t="shared" si="306"/>
        <v>0</v>
      </c>
      <c r="S321" s="6"/>
      <c r="T321" s="61"/>
      <c r="U321" s="61">
        <f t="shared" si="307"/>
        <v>0</v>
      </c>
      <c r="V321" s="7" t="str">
        <f t="shared" si="308"/>
        <v>NONE</v>
      </c>
      <c r="W321" s="56"/>
      <c r="X321" s="5"/>
      <c r="Y321" s="61">
        <f t="shared" si="323"/>
        <v>0</v>
      </c>
      <c r="Z321" s="61"/>
      <c r="AA321" s="1">
        <f t="shared" si="324"/>
        <v>0</v>
      </c>
      <c r="AB321" s="1">
        <f t="shared" si="309"/>
        <v>130</v>
      </c>
      <c r="AC321" s="1"/>
      <c r="AD321" s="65">
        <f t="shared" si="310"/>
        <v>-130</v>
      </c>
      <c r="AE321" s="1"/>
      <c r="AF321" s="1">
        <f t="shared" si="311"/>
        <v>0</v>
      </c>
      <c r="AG321" s="1">
        <f>IF(AH321&gt;0,AH193:AH336,0)</f>
        <v>0</v>
      </c>
      <c r="AH321" s="1">
        <f t="shared" si="312"/>
        <v>-130</v>
      </c>
      <c r="AJ321">
        <f t="shared" si="313"/>
        <v>0</v>
      </c>
      <c r="AK321">
        <f t="shared" si="314"/>
        <v>0</v>
      </c>
      <c r="AL321">
        <f t="shared" si="315"/>
        <v>0</v>
      </c>
      <c r="AM321">
        <f t="shared" si="316"/>
        <v>0</v>
      </c>
      <c r="AO321">
        <f t="shared" si="317"/>
        <v>0</v>
      </c>
      <c r="AP321">
        <f t="shared" si="318"/>
        <v>0</v>
      </c>
      <c r="AQ321">
        <f t="shared" si="319"/>
        <v>0</v>
      </c>
      <c r="AR321">
        <f t="shared" si="320"/>
        <v>0</v>
      </c>
    </row>
    <row r="322" spans="2:44" x14ac:dyDescent="0.25">
      <c r="B322" s="8" t="s">
        <v>996</v>
      </c>
      <c r="C322" s="78" t="s">
        <v>1016</v>
      </c>
      <c r="D322" s="78"/>
      <c r="E322" t="s">
        <v>370</v>
      </c>
      <c r="F322">
        <f t="shared" si="321"/>
        <v>0</v>
      </c>
      <c r="G322">
        <f t="shared" si="322"/>
        <v>1</v>
      </c>
      <c r="H322" t="s">
        <v>995</v>
      </c>
      <c r="I322" s="121">
        <v>7</v>
      </c>
      <c r="K322" t="s">
        <v>997</v>
      </c>
      <c r="N322" s="4" t="s">
        <v>36</v>
      </c>
      <c r="P322" s="86">
        <v>3065.08</v>
      </c>
      <c r="Q322" s="165">
        <f>P322*0.5</f>
        <v>1532.54</v>
      </c>
      <c r="R322">
        <f>IF(P322&gt;0,((P322+500)-Q322)+U322,0)</f>
        <v>2032.54</v>
      </c>
      <c r="S322" s="6">
        <v>43064</v>
      </c>
      <c r="T322" s="61"/>
      <c r="U322" s="61">
        <f t="shared" si="307"/>
        <v>0</v>
      </c>
      <c r="V322" s="7" t="str">
        <f t="shared" si="308"/>
        <v>NONE</v>
      </c>
      <c r="W322" s="56"/>
      <c r="X322" s="5" t="s">
        <v>25</v>
      </c>
      <c r="Y322" s="192">
        <f>R322+Q322</f>
        <v>3565.08</v>
      </c>
      <c r="Z322" s="61"/>
      <c r="AA322" s="1">
        <f t="shared" si="324"/>
        <v>0</v>
      </c>
      <c r="AB322" s="1">
        <f t="shared" si="309"/>
        <v>130</v>
      </c>
      <c r="AC322" s="1"/>
      <c r="AD322" s="65">
        <f t="shared" si="310"/>
        <v>2935.08</v>
      </c>
      <c r="AE322" s="1"/>
      <c r="AF322" s="1">
        <f t="shared" si="311"/>
        <v>30</v>
      </c>
      <c r="AG322" s="1">
        <f>IF(AH322&gt;0,AH194:AH322,0)</f>
        <v>2905.08</v>
      </c>
      <c r="AH322" s="1">
        <f t="shared" si="312"/>
        <v>2905.08</v>
      </c>
      <c r="AJ322">
        <f t="shared" si="313"/>
        <v>0</v>
      </c>
      <c r="AK322">
        <f t="shared" si="314"/>
        <v>0</v>
      </c>
      <c r="AL322">
        <f t="shared" si="315"/>
        <v>0</v>
      </c>
      <c r="AM322">
        <f t="shared" si="316"/>
        <v>0</v>
      </c>
      <c r="AO322">
        <f t="shared" si="317"/>
        <v>0</v>
      </c>
      <c r="AP322">
        <f t="shared" si="318"/>
        <v>0</v>
      </c>
      <c r="AQ322">
        <f t="shared" si="319"/>
        <v>0</v>
      </c>
      <c r="AR322">
        <f t="shared" si="320"/>
        <v>0</v>
      </c>
    </row>
    <row r="323" spans="2:44" x14ac:dyDescent="0.25">
      <c r="B323" s="8"/>
      <c r="C323" s="78"/>
      <c r="D323" s="78"/>
      <c r="E323" t="s">
        <v>370</v>
      </c>
      <c r="F323">
        <f t="shared" si="321"/>
        <v>0</v>
      </c>
      <c r="G323">
        <f t="shared" si="322"/>
        <v>1</v>
      </c>
      <c r="H323" s="121"/>
      <c r="I323" s="121"/>
      <c r="M323" s="152"/>
      <c r="N323" s="4" t="s">
        <v>36</v>
      </c>
      <c r="P323" s="86">
        <v>0</v>
      </c>
      <c r="Q323" s="1">
        <f>ROUND((P323*0.4),0)</f>
        <v>0</v>
      </c>
      <c r="R323">
        <f t="shared" si="306"/>
        <v>0</v>
      </c>
      <c r="S323" s="6"/>
      <c r="T323" s="61"/>
      <c r="U323" s="61">
        <f t="shared" si="307"/>
        <v>0</v>
      </c>
      <c r="V323" s="7" t="str">
        <f t="shared" si="308"/>
        <v>NONE</v>
      </c>
      <c r="W323" s="56"/>
      <c r="X323" s="5"/>
      <c r="Y323" s="61">
        <f t="shared" si="323"/>
        <v>0</v>
      </c>
      <c r="Z323" s="61"/>
      <c r="AA323" s="1">
        <f t="shared" si="324"/>
        <v>0</v>
      </c>
      <c r="AB323" s="1">
        <f t="shared" si="309"/>
        <v>0</v>
      </c>
      <c r="AC323" s="1"/>
      <c r="AD323" s="65">
        <f t="shared" si="310"/>
        <v>0</v>
      </c>
      <c r="AE323" s="1"/>
      <c r="AF323" s="1">
        <f t="shared" si="311"/>
        <v>0</v>
      </c>
      <c r="AG323" s="1">
        <f>IF(AH323&gt;0,AH196:AH323,0)</f>
        <v>0</v>
      </c>
      <c r="AH323" s="1">
        <f t="shared" si="312"/>
        <v>0</v>
      </c>
      <c r="AJ323">
        <f t="shared" si="313"/>
        <v>0</v>
      </c>
      <c r="AK323">
        <f t="shared" si="314"/>
        <v>0</v>
      </c>
      <c r="AL323">
        <f t="shared" si="315"/>
        <v>0</v>
      </c>
      <c r="AM323">
        <f t="shared" si="316"/>
        <v>0</v>
      </c>
      <c r="AO323">
        <f t="shared" si="317"/>
        <v>0</v>
      </c>
      <c r="AP323">
        <f t="shared" si="318"/>
        <v>0</v>
      </c>
      <c r="AQ323">
        <f t="shared" si="319"/>
        <v>0</v>
      </c>
      <c r="AR323">
        <f t="shared" si="320"/>
        <v>0</v>
      </c>
    </row>
    <row r="324" spans="2:44" x14ac:dyDescent="0.25">
      <c r="B324" s="121" t="s">
        <v>1084</v>
      </c>
      <c r="C324" t="s">
        <v>866</v>
      </c>
      <c r="E324" t="s">
        <v>822</v>
      </c>
      <c r="F324">
        <f t="shared" si="321"/>
        <v>0</v>
      </c>
      <c r="G324">
        <f t="shared" si="322"/>
        <v>1</v>
      </c>
      <c r="H324" s="121" t="s">
        <v>988</v>
      </c>
      <c r="I324" s="121">
        <v>20</v>
      </c>
      <c r="K324" t="s">
        <v>777</v>
      </c>
      <c r="N324" s="4" t="s">
        <v>36</v>
      </c>
      <c r="P324" s="86">
        <v>5800</v>
      </c>
      <c r="Q324" s="1">
        <v>500</v>
      </c>
      <c r="R324">
        <f t="shared" si="306"/>
        <v>5800</v>
      </c>
      <c r="S324" s="6">
        <v>43071</v>
      </c>
      <c r="T324" s="61"/>
      <c r="U324" s="61">
        <f t="shared" si="307"/>
        <v>0</v>
      </c>
      <c r="V324" s="7" t="str">
        <f t="shared" si="308"/>
        <v>NONE</v>
      </c>
      <c r="W324" s="56"/>
      <c r="X324" s="5" t="s">
        <v>162</v>
      </c>
      <c r="Y324" s="61">
        <f>R324+Q324</f>
        <v>6300</v>
      </c>
      <c r="Z324" s="61"/>
      <c r="AA324" s="1">
        <f t="shared" si="324"/>
        <v>0</v>
      </c>
      <c r="AB324" s="1">
        <f t="shared" si="309"/>
        <v>130</v>
      </c>
      <c r="AC324" s="1"/>
      <c r="AD324" s="65">
        <f t="shared" si="310"/>
        <v>5670</v>
      </c>
      <c r="AE324" s="1"/>
      <c r="AF324" s="1">
        <f t="shared" si="311"/>
        <v>30</v>
      </c>
      <c r="AG324" s="1">
        <f>IF(AH324&gt;0,AH204:AH324,0)</f>
        <v>5640</v>
      </c>
      <c r="AH324" s="1">
        <f t="shared" si="312"/>
        <v>5640</v>
      </c>
      <c r="AJ324">
        <f t="shared" si="313"/>
        <v>0</v>
      </c>
      <c r="AK324">
        <f t="shared" si="314"/>
        <v>0</v>
      </c>
      <c r="AL324">
        <f t="shared" si="315"/>
        <v>0</v>
      </c>
      <c r="AM324">
        <f t="shared" si="316"/>
        <v>0</v>
      </c>
      <c r="AO324">
        <f t="shared" si="317"/>
        <v>0</v>
      </c>
      <c r="AP324">
        <f t="shared" si="318"/>
        <v>0</v>
      </c>
      <c r="AQ324">
        <f t="shared" si="319"/>
        <v>0</v>
      </c>
      <c r="AR324">
        <f t="shared" si="320"/>
        <v>0</v>
      </c>
    </row>
    <row r="325" spans="2:44" x14ac:dyDescent="0.25">
      <c r="B325" s="82" t="s">
        <v>1080</v>
      </c>
      <c r="C325" s="8"/>
      <c r="D325" s="8"/>
      <c r="E325" t="s">
        <v>42</v>
      </c>
      <c r="F325">
        <f t="shared" si="321"/>
        <v>5</v>
      </c>
      <c r="G325">
        <f t="shared" si="322"/>
        <v>0</v>
      </c>
      <c r="H325" s="83" t="s">
        <v>1078</v>
      </c>
      <c r="I325" s="121">
        <v>5</v>
      </c>
      <c r="N325" s="4" t="s">
        <v>36</v>
      </c>
      <c r="P325" s="86">
        <v>0</v>
      </c>
      <c r="Q325" s="1">
        <f>ROUND((P325*0.4),0)</f>
        <v>0</v>
      </c>
      <c r="R325">
        <f t="shared" si="306"/>
        <v>0</v>
      </c>
      <c r="S325" s="6"/>
      <c r="T325" s="61"/>
      <c r="U325" s="61">
        <f t="shared" si="307"/>
        <v>0</v>
      </c>
      <c r="V325" s="7" t="str">
        <f t="shared" si="308"/>
        <v>NONE</v>
      </c>
      <c r="W325" s="56"/>
      <c r="X325" s="5"/>
      <c r="Y325" s="61">
        <f t="shared" si="323"/>
        <v>0</v>
      </c>
      <c r="Z325" s="61"/>
      <c r="AA325" s="1">
        <f t="shared" si="324"/>
        <v>0</v>
      </c>
      <c r="AB325" s="1">
        <f t="shared" si="309"/>
        <v>130</v>
      </c>
      <c r="AC325" s="1"/>
      <c r="AD325" s="65">
        <f t="shared" si="310"/>
        <v>-130</v>
      </c>
      <c r="AE325" s="1"/>
      <c r="AF325" s="1">
        <f t="shared" si="311"/>
        <v>0</v>
      </c>
      <c r="AG325" s="1">
        <f>IF(AH325&gt;0,AH183:AH325,0)</f>
        <v>0</v>
      </c>
      <c r="AH325" s="1">
        <f t="shared" ref="AH325:AH332" si="325">AD325-AF325</f>
        <v>-130</v>
      </c>
      <c r="AJ325">
        <f t="shared" ref="AJ325:AJ332" si="326">IF(T325=1,P325-U325,0)</f>
        <v>0</v>
      </c>
      <c r="AK325">
        <f t="shared" ref="AK325:AK332" si="327">IF(T325=2,P325-U325,0)</f>
        <v>0</v>
      </c>
      <c r="AL325">
        <f t="shared" ref="AL325:AL332" si="328">IF(T325=3,P325-U325,0)</f>
        <v>0</v>
      </c>
      <c r="AM325">
        <f t="shared" ref="AM325:AM332" si="329">IF(T325=4,P325-U325,0)</f>
        <v>0</v>
      </c>
      <c r="AO325">
        <f t="shared" ref="AO325:AO332" si="330">IF(T325=1,P325-U325,0)</f>
        <v>0</v>
      </c>
      <c r="AP325">
        <f t="shared" ref="AP325:AP332" si="331">IF(T325=2,P325-U325,0)</f>
        <v>0</v>
      </c>
      <c r="AQ325">
        <f t="shared" ref="AQ325:AQ332" si="332">IF(T325=3,P325-U325,0)</f>
        <v>0</v>
      </c>
      <c r="AR325">
        <f t="shared" ref="AR325:AR332" si="333">IF(T325=4,P325-U325,0)</f>
        <v>0</v>
      </c>
    </row>
    <row r="326" spans="2:44" x14ac:dyDescent="0.25">
      <c r="B326" s="215" t="s">
        <v>1081</v>
      </c>
      <c r="C326" s="78" t="s">
        <v>1083</v>
      </c>
      <c r="D326" s="78"/>
      <c r="E326" t="s">
        <v>370</v>
      </c>
      <c r="F326">
        <f t="shared" si="321"/>
        <v>0</v>
      </c>
      <c r="G326">
        <f t="shared" si="322"/>
        <v>1</v>
      </c>
      <c r="H326" s="51" t="s">
        <v>1079</v>
      </c>
      <c r="I326" s="121">
        <v>4</v>
      </c>
      <c r="K326" t="s">
        <v>1050</v>
      </c>
      <c r="N326" s="4" t="s">
        <v>36</v>
      </c>
      <c r="P326" s="86">
        <f>2057.11-149</f>
        <v>1908.1100000000001</v>
      </c>
      <c r="Q326" s="1">
        <f>1908.11+500</f>
        <v>2408.1099999999997</v>
      </c>
      <c r="R326">
        <v>0</v>
      </c>
      <c r="S326" s="6" t="s">
        <v>1082</v>
      </c>
      <c r="T326" s="61"/>
      <c r="U326" s="61">
        <f>IF(V326=$AE$2,47,IF(V326=$AE$1,ROUND(((P326+500)*0.039),0),IF(V326=$AE$3,0)))</f>
        <v>0</v>
      </c>
      <c r="V326" s="7" t="str">
        <f t="shared" ref="V326:V341" si="334">IF(W326=1,$AE$2,IF(W326=2,$AE$1,IF(AND(W326&lt;&gt;1,W326&lt;&gt;20)=TRUE,$AE$3)))</f>
        <v>NONE</v>
      </c>
      <c r="W326" s="56"/>
      <c r="X326" s="5" t="s">
        <v>25</v>
      </c>
      <c r="Y326" s="61">
        <f>R326+Q326</f>
        <v>2408.1099999999997</v>
      </c>
      <c r="Z326" s="61"/>
      <c r="AA326" s="1">
        <f t="shared" ref="AA326:AA344" si="335">IF(X326=$AA$1,R326-500,0)</f>
        <v>0</v>
      </c>
      <c r="AB326" s="1">
        <f t="shared" ref="AB326:AB341" si="336">IF(I326&gt;0,130,0)</f>
        <v>130</v>
      </c>
      <c r="AC326" s="1"/>
      <c r="AD326" s="65">
        <f t="shared" ref="AD326:AD341" si="337">(P326+U326)-AB326</f>
        <v>1778.1100000000001</v>
      </c>
      <c r="AE326" s="1"/>
      <c r="AF326" s="1">
        <f t="shared" ref="AF326:AF341" si="338">IF(I326&gt;0,30*G326,0)</f>
        <v>30</v>
      </c>
      <c r="AG326" s="1">
        <f>IF(AH326&gt;0,AH189:AH326,0)</f>
        <v>1748.1100000000001</v>
      </c>
      <c r="AH326" s="1">
        <f>AD326-AF326</f>
        <v>1748.1100000000001</v>
      </c>
      <c r="AJ326">
        <f>IF(T326=1,P326-U326,0)</f>
        <v>0</v>
      </c>
      <c r="AK326">
        <f>IF(T326=2,P326-U326,0)</f>
        <v>0</v>
      </c>
      <c r="AL326">
        <f>IF(T326=3,P326-U326,0)</f>
        <v>0</v>
      </c>
      <c r="AM326">
        <f>IF(T326=4,P326-U326,0)</f>
        <v>0</v>
      </c>
      <c r="AO326">
        <f>IF(T326=1,P326-U326,0)</f>
        <v>0</v>
      </c>
      <c r="AP326">
        <f>IF(T326=2,P326-U326,0)</f>
        <v>0</v>
      </c>
      <c r="AQ326">
        <f>IF(T326=3,P326-U326,0)</f>
        <v>0</v>
      </c>
      <c r="AR326">
        <f>IF(T326=4,P326-U326,0)</f>
        <v>0</v>
      </c>
    </row>
    <row r="327" spans="2:44" x14ac:dyDescent="0.25">
      <c r="B327" s="217" t="s">
        <v>1086</v>
      </c>
      <c r="C327" s="78" t="s">
        <v>1087</v>
      </c>
      <c r="D327" s="78"/>
      <c r="E327" t="s">
        <v>370</v>
      </c>
      <c r="F327">
        <f t="shared" si="321"/>
        <v>0</v>
      </c>
      <c r="G327">
        <f t="shared" si="322"/>
        <v>1</v>
      </c>
      <c r="H327" s="51" t="s">
        <v>1049</v>
      </c>
      <c r="I327" s="121">
        <v>7</v>
      </c>
      <c r="J327" s="48"/>
      <c r="K327" t="s">
        <v>1085</v>
      </c>
      <c r="M327" s="51"/>
      <c r="N327" s="4" t="s">
        <v>36</v>
      </c>
      <c r="P327" s="86">
        <v>3065.08</v>
      </c>
      <c r="Q327" s="1">
        <v>1532.54</v>
      </c>
      <c r="R327">
        <f t="shared" si="306"/>
        <v>2032.54</v>
      </c>
      <c r="S327" s="6">
        <v>43096</v>
      </c>
      <c r="T327" s="61">
        <v>1</v>
      </c>
      <c r="U327" s="61">
        <f t="shared" si="307"/>
        <v>0</v>
      </c>
      <c r="V327" s="7" t="str">
        <f t="shared" si="334"/>
        <v>NONE</v>
      </c>
      <c r="W327" s="56"/>
      <c r="X327" s="5" t="s">
        <v>25</v>
      </c>
      <c r="Y327" s="165">
        <f t="shared" si="323"/>
        <v>3565.08</v>
      </c>
      <c r="Z327" s="61"/>
      <c r="AA327" s="1">
        <f t="shared" si="335"/>
        <v>0</v>
      </c>
      <c r="AB327" s="1">
        <f t="shared" si="336"/>
        <v>130</v>
      </c>
      <c r="AC327" s="1"/>
      <c r="AD327" s="65">
        <f t="shared" si="337"/>
        <v>2935.08</v>
      </c>
      <c r="AE327" s="1"/>
      <c r="AF327" s="1">
        <f t="shared" si="338"/>
        <v>30</v>
      </c>
      <c r="AG327" s="1">
        <f>IF(AH327&gt;0,AH206:AH327,0)</f>
        <v>2905.08</v>
      </c>
      <c r="AH327" s="1">
        <f t="shared" si="325"/>
        <v>2905.08</v>
      </c>
      <c r="AJ327">
        <f t="shared" si="326"/>
        <v>3065.08</v>
      </c>
      <c r="AK327">
        <f t="shared" si="327"/>
        <v>0</v>
      </c>
      <c r="AL327">
        <f t="shared" si="328"/>
        <v>0</v>
      </c>
      <c r="AM327">
        <f t="shared" si="329"/>
        <v>0</v>
      </c>
      <c r="AO327">
        <f t="shared" si="330"/>
        <v>3065.08</v>
      </c>
      <c r="AP327">
        <f t="shared" si="331"/>
        <v>0</v>
      </c>
      <c r="AQ327">
        <f t="shared" si="332"/>
        <v>0</v>
      </c>
      <c r="AR327">
        <f t="shared" si="333"/>
        <v>0</v>
      </c>
    </row>
    <row r="328" spans="2:44" s="176" customFormat="1" x14ac:dyDescent="0.25">
      <c r="B328" s="211" t="s">
        <v>1067</v>
      </c>
      <c r="C328" s="78" t="s">
        <v>1039</v>
      </c>
      <c r="D328" s="78"/>
      <c r="E328" s="176" t="s">
        <v>370</v>
      </c>
      <c r="F328">
        <f t="shared" si="321"/>
        <v>0</v>
      </c>
      <c r="G328">
        <f t="shared" si="322"/>
        <v>1</v>
      </c>
      <c r="H328" s="212" t="s">
        <v>1038</v>
      </c>
      <c r="I328" s="128">
        <v>4</v>
      </c>
      <c r="J328" s="205"/>
      <c r="K328" s="176" t="s">
        <v>777</v>
      </c>
      <c r="M328" s="206"/>
      <c r="N328" s="207" t="s">
        <v>36</v>
      </c>
      <c r="P328" s="208">
        <f>1753.15-135</f>
        <v>1618.15</v>
      </c>
      <c r="Q328" s="165">
        <f>ROUND((P328*0.5),2)</f>
        <v>809.08</v>
      </c>
      <c r="R328" s="176">
        <f>IF(P328&gt;0,((P328+500)-Q328)+U328,0)</f>
        <v>1309.0700000000002</v>
      </c>
      <c r="S328" s="214" t="s">
        <v>1040</v>
      </c>
      <c r="T328" s="165"/>
      <c r="U328" s="165">
        <f>IF(V328=$AE$2,47,IF(V328=$AE$1,ROUND(((P328+500)*0.039),0),IF(V328=$AE$3,0)))</f>
        <v>0</v>
      </c>
      <c r="V328" s="209" t="str">
        <f t="shared" si="334"/>
        <v>NONE</v>
      </c>
      <c r="W328" s="210"/>
      <c r="X328" s="216" t="s">
        <v>25</v>
      </c>
      <c r="Y328" s="165">
        <f>R328+Q328</f>
        <v>2118.15</v>
      </c>
      <c r="Z328" s="165"/>
      <c r="AA328" s="165">
        <f t="shared" si="335"/>
        <v>0</v>
      </c>
      <c r="AB328" s="165">
        <f t="shared" si="336"/>
        <v>130</v>
      </c>
      <c r="AC328" s="165"/>
      <c r="AD328" s="176">
        <f t="shared" si="337"/>
        <v>1488.15</v>
      </c>
      <c r="AE328" s="165"/>
      <c r="AF328" s="165">
        <f t="shared" si="338"/>
        <v>30</v>
      </c>
      <c r="AG328" s="165">
        <f>IF(AH328&gt;0,AH205:AH328,0)</f>
        <v>1458.15</v>
      </c>
      <c r="AH328" s="165">
        <f t="shared" si="325"/>
        <v>1458.15</v>
      </c>
      <c r="AJ328" s="176">
        <f t="shared" si="326"/>
        <v>0</v>
      </c>
      <c r="AK328" s="176">
        <f t="shared" si="327"/>
        <v>0</v>
      </c>
      <c r="AL328" s="176">
        <f t="shared" si="328"/>
        <v>0</v>
      </c>
      <c r="AM328" s="176">
        <f t="shared" si="329"/>
        <v>0</v>
      </c>
      <c r="AO328" s="176">
        <f t="shared" si="330"/>
        <v>0</v>
      </c>
      <c r="AP328" s="176">
        <f t="shared" si="331"/>
        <v>0</v>
      </c>
      <c r="AQ328" s="176">
        <f t="shared" si="332"/>
        <v>0</v>
      </c>
      <c r="AR328" s="176">
        <f t="shared" si="333"/>
        <v>0</v>
      </c>
    </row>
    <row r="329" spans="2:44" x14ac:dyDescent="0.25">
      <c r="B329" s="8" t="s">
        <v>1052</v>
      </c>
      <c r="C329" s="78" t="s">
        <v>1088</v>
      </c>
      <c r="D329" s="78"/>
      <c r="E329" t="s">
        <v>370</v>
      </c>
      <c r="F329">
        <f t="shared" si="321"/>
        <v>0</v>
      </c>
      <c r="G329">
        <f t="shared" si="322"/>
        <v>1</v>
      </c>
      <c r="H329" s="51" t="s">
        <v>1051</v>
      </c>
      <c r="I329" s="121">
        <v>7</v>
      </c>
      <c r="J329" s="48"/>
      <c r="K329" t="s">
        <v>712</v>
      </c>
      <c r="M329" s="180"/>
      <c r="N329" s="4" t="s">
        <v>36</v>
      </c>
      <c r="P329" s="86">
        <v>3544</v>
      </c>
      <c r="Q329" s="1">
        <v>1692</v>
      </c>
      <c r="R329">
        <f>IF(P329&gt;0,((P329+500)-Q329)+U329,0)</f>
        <v>2352</v>
      </c>
      <c r="S329" s="6">
        <v>42746</v>
      </c>
      <c r="T329" s="61"/>
      <c r="U329" s="61">
        <f>IF(V329=$AE$2,47,IF(V329=$AE$1,ROUND(((P329+500)*0.039),0),IF(V329=$AE$3,0)))</f>
        <v>0</v>
      </c>
      <c r="V329" s="7" t="str">
        <f t="shared" si="334"/>
        <v>NONE</v>
      </c>
      <c r="W329" s="56"/>
      <c r="X329" s="5" t="s">
        <v>25</v>
      </c>
      <c r="Y329" s="61">
        <f>R329+Q329</f>
        <v>4044</v>
      </c>
      <c r="Z329" s="61"/>
      <c r="AA329" s="1">
        <f t="shared" si="335"/>
        <v>0</v>
      </c>
      <c r="AB329" s="1">
        <f t="shared" si="336"/>
        <v>130</v>
      </c>
      <c r="AC329" s="1"/>
      <c r="AD329" s="65">
        <f t="shared" si="337"/>
        <v>3414</v>
      </c>
      <c r="AE329" s="1"/>
      <c r="AF329" s="1">
        <f t="shared" si="338"/>
        <v>30</v>
      </c>
      <c r="AG329" s="1">
        <f>IF(AH329&gt;0,AH205:AH329,0)</f>
        <v>3384</v>
      </c>
      <c r="AH329" s="1">
        <f t="shared" si="325"/>
        <v>3384</v>
      </c>
      <c r="AJ329">
        <f t="shared" si="326"/>
        <v>0</v>
      </c>
      <c r="AK329">
        <f t="shared" si="327"/>
        <v>0</v>
      </c>
      <c r="AL329">
        <f t="shared" si="328"/>
        <v>0</v>
      </c>
      <c r="AM329">
        <f t="shared" si="329"/>
        <v>0</v>
      </c>
      <c r="AO329">
        <f t="shared" si="330"/>
        <v>0</v>
      </c>
      <c r="AP329">
        <f t="shared" si="331"/>
        <v>0</v>
      </c>
      <c r="AQ329">
        <f t="shared" si="332"/>
        <v>0</v>
      </c>
      <c r="AR329">
        <f t="shared" si="333"/>
        <v>0</v>
      </c>
    </row>
    <row r="330" spans="2:44" x14ac:dyDescent="0.25">
      <c r="B330" s="8" t="s">
        <v>1069</v>
      </c>
      <c r="C330" s="78" t="s">
        <v>1070</v>
      </c>
      <c r="D330" s="78"/>
      <c r="E330" t="s">
        <v>822</v>
      </c>
      <c r="F330">
        <f t="shared" si="321"/>
        <v>0</v>
      </c>
      <c r="G330">
        <f t="shared" si="322"/>
        <v>1</v>
      </c>
      <c r="H330" s="51" t="s">
        <v>1071</v>
      </c>
      <c r="I330" s="121">
        <v>5</v>
      </c>
      <c r="J330" s="48"/>
      <c r="K330" t="s">
        <v>1072</v>
      </c>
      <c r="M330" s="180"/>
      <c r="N330" s="4" t="s">
        <v>36</v>
      </c>
      <c r="P330" s="86">
        <v>2223.9299999999998</v>
      </c>
      <c r="Q330" s="1">
        <f>ROUND((P330*0.5),2)</f>
        <v>1111.97</v>
      </c>
      <c r="R330">
        <f>IF(P330&gt;0,((P330+500)-Q330)+U330,0)</f>
        <v>1611.9599999999998</v>
      </c>
      <c r="S330" s="6">
        <v>43123</v>
      </c>
      <c r="T330" s="61"/>
      <c r="U330" s="61">
        <f>IF(V330=$AE$2,47,IF(V330=$AE$1,ROUND(((P330+500)*0.039),0),IF(V330=$AE$3,0)))</f>
        <v>0</v>
      </c>
      <c r="V330" s="7" t="str">
        <f t="shared" si="334"/>
        <v>NONE</v>
      </c>
      <c r="W330" s="56"/>
      <c r="X330" s="5" t="s">
        <v>25</v>
      </c>
      <c r="Y330" s="192">
        <f>R330+Q330</f>
        <v>2723.93</v>
      </c>
      <c r="Z330" s="61"/>
      <c r="AA330" s="1">
        <f t="shared" si="335"/>
        <v>0</v>
      </c>
      <c r="AB330" s="1">
        <f t="shared" si="336"/>
        <v>130</v>
      </c>
      <c r="AC330" s="1"/>
      <c r="AD330" s="65">
        <f t="shared" si="337"/>
        <v>2093.9299999999998</v>
      </c>
      <c r="AE330" s="1"/>
      <c r="AF330" s="1">
        <f t="shared" si="338"/>
        <v>30</v>
      </c>
      <c r="AG330" s="1">
        <f>IF(AH330&gt;0,AH205:AH330,0)</f>
        <v>2063.9299999999998</v>
      </c>
      <c r="AH330" s="1">
        <f>AD330-AF330</f>
        <v>2063.9299999999998</v>
      </c>
      <c r="AJ330">
        <f>IF(T330=1,P330-U330,0)</f>
        <v>0</v>
      </c>
      <c r="AK330">
        <f>IF(T330=2,P330-U330,0)</f>
        <v>0</v>
      </c>
      <c r="AL330">
        <f>IF(T330=3,P330-U330,0)</f>
        <v>0</v>
      </c>
      <c r="AM330">
        <f>IF(T330=4,P330-U330,0)</f>
        <v>0</v>
      </c>
      <c r="AO330">
        <f>IF(T330=1,P330-U330,0)</f>
        <v>0</v>
      </c>
      <c r="AP330">
        <f>IF(T330=2,P330-U330,0)</f>
        <v>0</v>
      </c>
      <c r="AQ330">
        <f>IF(T330=3,P330-U330,0)</f>
        <v>0</v>
      </c>
      <c r="AR330">
        <f>IF(T330=4,P330-U330,0)</f>
        <v>0</v>
      </c>
    </row>
    <row r="331" spans="2:44" x14ac:dyDescent="0.25">
      <c r="B331" s="219" t="s">
        <v>1066</v>
      </c>
      <c r="C331" s="78" t="s">
        <v>1034</v>
      </c>
      <c r="D331" s="78"/>
      <c r="E331" t="s">
        <v>370</v>
      </c>
      <c r="F331">
        <f t="shared" si="321"/>
        <v>0</v>
      </c>
      <c r="G331">
        <f t="shared" si="322"/>
        <v>1</v>
      </c>
      <c r="H331" t="s">
        <v>1068</v>
      </c>
      <c r="I331" s="121">
        <v>5</v>
      </c>
      <c r="K331" t="s">
        <v>1033</v>
      </c>
      <c r="N331" s="4" t="s">
        <v>36</v>
      </c>
      <c r="P331" s="86">
        <v>1941</v>
      </c>
      <c r="Q331" s="1">
        <f>((P331*0.5))</f>
        <v>970.5</v>
      </c>
      <c r="R331">
        <f t="shared" si="306"/>
        <v>1470.5</v>
      </c>
      <c r="S331" s="6">
        <v>42758</v>
      </c>
      <c r="T331" s="61"/>
      <c r="U331" s="61">
        <f t="shared" si="307"/>
        <v>0</v>
      </c>
      <c r="V331" s="7" t="str">
        <f t="shared" si="334"/>
        <v>NONE</v>
      </c>
      <c r="W331" s="56"/>
      <c r="X331" s="5" t="s">
        <v>1097</v>
      </c>
      <c r="Y331" s="61">
        <f>R331+Q331</f>
        <v>2441</v>
      </c>
      <c r="Z331" s="61"/>
      <c r="AA331" s="1">
        <f t="shared" si="335"/>
        <v>0</v>
      </c>
      <c r="AB331" s="1">
        <f t="shared" si="336"/>
        <v>130</v>
      </c>
      <c r="AC331" s="1"/>
      <c r="AD331" s="65">
        <f t="shared" si="337"/>
        <v>1811</v>
      </c>
      <c r="AE331" s="1"/>
      <c r="AF331" s="1">
        <f t="shared" si="338"/>
        <v>30</v>
      </c>
      <c r="AG331" s="1">
        <f>IF(AH331&gt;0,AH200:AH352,0)</f>
        <v>1781</v>
      </c>
      <c r="AH331" s="1">
        <f t="shared" si="325"/>
        <v>1781</v>
      </c>
      <c r="AJ331">
        <f t="shared" si="326"/>
        <v>0</v>
      </c>
      <c r="AK331">
        <f t="shared" si="327"/>
        <v>0</v>
      </c>
      <c r="AL331">
        <f t="shared" si="328"/>
        <v>0</v>
      </c>
      <c r="AM331">
        <f t="shared" si="329"/>
        <v>0</v>
      </c>
      <c r="AO331">
        <f t="shared" si="330"/>
        <v>0</v>
      </c>
      <c r="AP331">
        <f t="shared" si="331"/>
        <v>0</v>
      </c>
      <c r="AQ331">
        <f t="shared" si="332"/>
        <v>0</v>
      </c>
      <c r="AR331">
        <f t="shared" si="333"/>
        <v>0</v>
      </c>
    </row>
    <row r="332" spans="2:44" x14ac:dyDescent="0.25">
      <c r="B332" s="8"/>
      <c r="F332">
        <f t="shared" si="321"/>
        <v>0</v>
      </c>
      <c r="G332">
        <f t="shared" si="322"/>
        <v>1</v>
      </c>
      <c r="H332" s="51"/>
      <c r="I332" s="121"/>
      <c r="J332" s="48"/>
      <c r="M332" s="180"/>
      <c r="N332" s="4" t="s">
        <v>36</v>
      </c>
      <c r="P332" s="86">
        <v>0</v>
      </c>
      <c r="Q332" s="1">
        <f>ROUND((P332*0.4),0)</f>
        <v>0</v>
      </c>
      <c r="R332">
        <f t="shared" si="306"/>
        <v>0</v>
      </c>
      <c r="S332" s="6"/>
      <c r="T332" s="61"/>
      <c r="U332" s="61">
        <f t="shared" ref="U332:U341" si="339">IF(V332=$AE$2,47,IF(V332=$AE$1,ROUND(((P332+500)*0.039),0),IF(V332=$AE$3,0)))</f>
        <v>0</v>
      </c>
      <c r="V332" s="7" t="str">
        <f t="shared" si="334"/>
        <v>NONE</v>
      </c>
      <c r="W332" s="56"/>
      <c r="X332" s="5"/>
      <c r="Y332" s="61">
        <f t="shared" si="323"/>
        <v>0</v>
      </c>
      <c r="Z332" s="61"/>
      <c r="AA332" s="1">
        <f t="shared" si="335"/>
        <v>0</v>
      </c>
      <c r="AB332" s="1">
        <f t="shared" si="336"/>
        <v>0</v>
      </c>
      <c r="AC332" s="1"/>
      <c r="AD332" s="65">
        <f t="shared" si="337"/>
        <v>0</v>
      </c>
      <c r="AE332" s="1"/>
      <c r="AF332" s="1">
        <f t="shared" si="338"/>
        <v>0</v>
      </c>
      <c r="AG332" s="1">
        <f>IF(AH332&gt;0,AH207:AH332,0)</f>
        <v>0</v>
      </c>
      <c r="AH332" s="1">
        <f t="shared" si="325"/>
        <v>0</v>
      </c>
      <c r="AJ332">
        <f t="shared" si="326"/>
        <v>0</v>
      </c>
      <c r="AK332">
        <f t="shared" si="327"/>
        <v>0</v>
      </c>
      <c r="AL332">
        <f t="shared" si="328"/>
        <v>0</v>
      </c>
      <c r="AM332">
        <f t="shared" si="329"/>
        <v>0</v>
      </c>
      <c r="AO332">
        <f t="shared" si="330"/>
        <v>0</v>
      </c>
      <c r="AP332">
        <f t="shared" si="331"/>
        <v>0</v>
      </c>
      <c r="AQ332">
        <f t="shared" si="332"/>
        <v>0</v>
      </c>
      <c r="AR332">
        <f t="shared" si="333"/>
        <v>0</v>
      </c>
    </row>
    <row r="333" spans="2:44" x14ac:dyDescent="0.25">
      <c r="B333" s="82" t="s">
        <v>82</v>
      </c>
      <c r="C333" s="8"/>
      <c r="D333" s="8"/>
      <c r="E333" t="s">
        <v>42</v>
      </c>
      <c r="F333">
        <f t="shared" si="321"/>
        <v>3</v>
      </c>
      <c r="G333">
        <f t="shared" si="322"/>
        <v>0</v>
      </c>
      <c r="H333" s="202" t="s">
        <v>1077</v>
      </c>
      <c r="I333" s="121">
        <v>3</v>
      </c>
      <c r="J333" s="48"/>
      <c r="M333" s="51"/>
      <c r="N333" s="4" t="s">
        <v>36</v>
      </c>
      <c r="P333" s="86">
        <v>0</v>
      </c>
      <c r="Q333" s="1">
        <f>ROUND((P333*0.4),0)</f>
        <v>0</v>
      </c>
      <c r="R333">
        <f t="shared" si="306"/>
        <v>0</v>
      </c>
      <c r="S333" s="6"/>
      <c r="T333" s="61"/>
      <c r="U333" s="61">
        <f t="shared" si="339"/>
        <v>0</v>
      </c>
      <c r="V333" s="7" t="str">
        <f t="shared" si="334"/>
        <v>NONE</v>
      </c>
      <c r="W333" s="56"/>
      <c r="X333" s="5"/>
      <c r="Y333" s="61">
        <f t="shared" si="323"/>
        <v>0</v>
      </c>
      <c r="Z333" s="61"/>
      <c r="AA333" s="1">
        <f t="shared" si="335"/>
        <v>0</v>
      </c>
      <c r="AB333" s="1">
        <f t="shared" si="336"/>
        <v>130</v>
      </c>
      <c r="AC333" s="1"/>
      <c r="AD333" s="65">
        <f t="shared" si="337"/>
        <v>-130</v>
      </c>
      <c r="AE333" s="1"/>
      <c r="AF333" s="1">
        <f t="shared" si="338"/>
        <v>0</v>
      </c>
      <c r="AG333" s="1">
        <f>IF(AH333&gt;0,AH208:AH333,0)</f>
        <v>0</v>
      </c>
      <c r="AH333" s="1">
        <f t="shared" ref="AH333:AH341" si="340">AD333-AF333</f>
        <v>-130</v>
      </c>
      <c r="AJ333">
        <f t="shared" ref="AJ333:AJ341" si="341">IF(T333=1,P333-U333,0)</f>
        <v>0</v>
      </c>
      <c r="AK333">
        <f t="shared" ref="AK333:AK341" si="342">IF(T333=2,P333-U333,0)</f>
        <v>0</v>
      </c>
      <c r="AL333">
        <f t="shared" ref="AL333:AL341" si="343">IF(T333=3,P333-U333,0)</f>
        <v>0</v>
      </c>
      <c r="AM333">
        <f t="shared" ref="AM333:AM341" si="344">IF(T333=4,P333-U333,0)</f>
        <v>0</v>
      </c>
      <c r="AO333">
        <f t="shared" ref="AO333:AO341" si="345">IF(T333=1,P333-U333,0)</f>
        <v>0</v>
      </c>
      <c r="AP333">
        <f t="shared" ref="AP333:AP341" si="346">IF(T333=2,P333-U333,0)</f>
        <v>0</v>
      </c>
      <c r="AQ333">
        <f t="shared" ref="AQ333:AQ341" si="347">IF(T333=3,P333-U333,0)</f>
        <v>0</v>
      </c>
      <c r="AR333">
        <f t="shared" ref="AR333:AR341" si="348">IF(T333=4,P333-U333,0)</f>
        <v>0</v>
      </c>
    </row>
    <row r="334" spans="2:44" x14ac:dyDescent="0.25">
      <c r="B334" s="146" t="s">
        <v>1046</v>
      </c>
      <c r="C334" s="78" t="s">
        <v>1047</v>
      </c>
      <c r="D334" s="78"/>
      <c r="E334" t="s">
        <v>370</v>
      </c>
      <c r="F334">
        <f t="shared" si="321"/>
        <v>0</v>
      </c>
      <c r="G334">
        <f t="shared" si="322"/>
        <v>1</v>
      </c>
      <c r="H334" t="s">
        <v>1045</v>
      </c>
      <c r="I334" s="121">
        <v>5</v>
      </c>
      <c r="K334" t="s">
        <v>997</v>
      </c>
      <c r="M334" s="91">
        <f>2243.95-2127.95</f>
        <v>116</v>
      </c>
      <c r="N334" s="4" t="s">
        <v>36</v>
      </c>
      <c r="P334" s="86">
        <f>2109.85-150</f>
        <v>1959.85</v>
      </c>
      <c r="Q334" s="1">
        <f>ROUND((P334*0.5),2)</f>
        <v>979.93</v>
      </c>
      <c r="R334">
        <f t="shared" si="306"/>
        <v>1479.92</v>
      </c>
      <c r="S334" s="6">
        <v>42767</v>
      </c>
      <c r="T334" s="61"/>
      <c r="U334" s="61">
        <f t="shared" si="339"/>
        <v>0</v>
      </c>
      <c r="V334" s="7" t="str">
        <f t="shared" si="334"/>
        <v>NONE</v>
      </c>
      <c r="W334" s="56"/>
      <c r="X334" s="5" t="s">
        <v>25</v>
      </c>
      <c r="Y334" s="165">
        <f>R334+Q334</f>
        <v>2459.85</v>
      </c>
      <c r="Z334" s="61"/>
      <c r="AA334" s="1">
        <f t="shared" si="335"/>
        <v>0</v>
      </c>
      <c r="AB334" s="1">
        <f t="shared" si="336"/>
        <v>130</v>
      </c>
      <c r="AC334" s="1"/>
      <c r="AD334" s="65">
        <f t="shared" si="337"/>
        <v>1829.85</v>
      </c>
      <c r="AE334" s="1"/>
      <c r="AF334" s="1">
        <f t="shared" si="338"/>
        <v>30</v>
      </c>
      <c r="AG334" s="1">
        <f>IF(AH334&gt;0,AH203:AH334,0)</f>
        <v>1799.85</v>
      </c>
      <c r="AH334" s="1">
        <f t="shared" si="340"/>
        <v>1799.85</v>
      </c>
      <c r="AJ334">
        <f t="shared" si="341"/>
        <v>0</v>
      </c>
      <c r="AK334">
        <f t="shared" si="342"/>
        <v>0</v>
      </c>
      <c r="AL334">
        <f t="shared" si="343"/>
        <v>0</v>
      </c>
      <c r="AM334">
        <f t="shared" si="344"/>
        <v>0</v>
      </c>
      <c r="AO334">
        <f t="shared" si="345"/>
        <v>0</v>
      </c>
      <c r="AP334">
        <f t="shared" si="346"/>
        <v>0</v>
      </c>
      <c r="AQ334">
        <f t="shared" si="347"/>
        <v>0</v>
      </c>
      <c r="AR334">
        <f t="shared" si="348"/>
        <v>0</v>
      </c>
    </row>
    <row r="335" spans="2:44" x14ac:dyDescent="0.25">
      <c r="B335" s="8"/>
      <c r="F335">
        <f t="shared" si="321"/>
        <v>0</v>
      </c>
      <c r="G335">
        <f t="shared" si="322"/>
        <v>1</v>
      </c>
      <c r="H335" s="51"/>
      <c r="I335" s="121"/>
      <c r="N335" s="4" t="s">
        <v>36</v>
      </c>
      <c r="P335" s="86">
        <v>0</v>
      </c>
      <c r="Q335" s="1">
        <f>ROUND((P335*0.4),0)</f>
        <v>0</v>
      </c>
      <c r="R335">
        <f t="shared" si="306"/>
        <v>0</v>
      </c>
      <c r="S335" s="6"/>
      <c r="T335" s="61"/>
      <c r="U335" s="61">
        <f t="shared" si="339"/>
        <v>0</v>
      </c>
      <c r="V335" s="7" t="str">
        <f t="shared" si="334"/>
        <v>NONE</v>
      </c>
      <c r="W335" s="56"/>
      <c r="X335" s="5"/>
      <c r="Y335" s="61">
        <f t="shared" si="323"/>
        <v>0</v>
      </c>
      <c r="Z335" s="61"/>
      <c r="AA335" s="1">
        <f t="shared" si="335"/>
        <v>0</v>
      </c>
      <c r="AB335" s="1">
        <f t="shared" si="336"/>
        <v>0</v>
      </c>
      <c r="AC335" s="1"/>
      <c r="AD335" s="65">
        <f t="shared" si="337"/>
        <v>0</v>
      </c>
      <c r="AE335" s="1"/>
      <c r="AF335" s="1">
        <f t="shared" si="338"/>
        <v>0</v>
      </c>
      <c r="AG335" s="1">
        <f>IF(AH335&gt;0,AH198:AH335,0)</f>
        <v>0</v>
      </c>
      <c r="AH335" s="1">
        <f t="shared" si="340"/>
        <v>0</v>
      </c>
      <c r="AJ335">
        <f t="shared" si="341"/>
        <v>0</v>
      </c>
      <c r="AK335">
        <f t="shared" si="342"/>
        <v>0</v>
      </c>
      <c r="AL335">
        <f t="shared" si="343"/>
        <v>0</v>
      </c>
      <c r="AM335">
        <f t="shared" si="344"/>
        <v>0</v>
      </c>
      <c r="AO335">
        <f t="shared" si="345"/>
        <v>0</v>
      </c>
      <c r="AP335">
        <f t="shared" si="346"/>
        <v>0</v>
      </c>
      <c r="AQ335">
        <f t="shared" si="347"/>
        <v>0</v>
      </c>
      <c r="AR335">
        <f t="shared" si="348"/>
        <v>0</v>
      </c>
    </row>
    <row r="336" spans="2:44" ht="15.75" x14ac:dyDescent="0.25">
      <c r="B336" s="143"/>
      <c r="F336">
        <f t="shared" si="321"/>
        <v>0</v>
      </c>
      <c r="G336">
        <f t="shared" si="322"/>
        <v>1</v>
      </c>
      <c r="I336" s="121"/>
      <c r="N336" s="4" t="s">
        <v>36</v>
      </c>
      <c r="P336" s="86">
        <v>0</v>
      </c>
      <c r="Q336" s="1">
        <f>ROUND((P336*0.4),0)</f>
        <v>0</v>
      </c>
      <c r="R336">
        <f t="shared" si="306"/>
        <v>0</v>
      </c>
      <c r="S336" s="6"/>
      <c r="T336" s="61"/>
      <c r="U336" s="61">
        <f t="shared" si="339"/>
        <v>0</v>
      </c>
      <c r="V336" s="7" t="str">
        <f t="shared" si="334"/>
        <v>NONE</v>
      </c>
      <c r="W336" s="56"/>
      <c r="X336" s="5"/>
      <c r="Y336" s="61">
        <f t="shared" si="323"/>
        <v>0</v>
      </c>
      <c r="Z336" s="61"/>
      <c r="AA336" s="1">
        <f t="shared" si="335"/>
        <v>0</v>
      </c>
      <c r="AB336" s="1">
        <f t="shared" si="336"/>
        <v>0</v>
      </c>
      <c r="AC336" s="1"/>
      <c r="AD336" s="65">
        <f t="shared" si="337"/>
        <v>0</v>
      </c>
      <c r="AE336" s="1"/>
      <c r="AF336" s="1">
        <f t="shared" si="338"/>
        <v>0</v>
      </c>
      <c r="AG336" s="1">
        <f>IF(AH336&gt;0,AH203:AH354,0)</f>
        <v>0</v>
      </c>
      <c r="AH336" s="1">
        <f t="shared" si="340"/>
        <v>0</v>
      </c>
      <c r="AJ336">
        <f t="shared" si="341"/>
        <v>0</v>
      </c>
      <c r="AK336">
        <f t="shared" si="342"/>
        <v>0</v>
      </c>
      <c r="AL336">
        <f t="shared" si="343"/>
        <v>0</v>
      </c>
      <c r="AM336">
        <f t="shared" si="344"/>
        <v>0</v>
      </c>
      <c r="AO336">
        <f t="shared" si="345"/>
        <v>0</v>
      </c>
      <c r="AP336">
        <f t="shared" si="346"/>
        <v>0</v>
      </c>
      <c r="AQ336">
        <f t="shared" si="347"/>
        <v>0</v>
      </c>
      <c r="AR336">
        <f t="shared" si="348"/>
        <v>0</v>
      </c>
    </row>
    <row r="337" spans="2:44" x14ac:dyDescent="0.25">
      <c r="B337" s="82" t="s">
        <v>82</v>
      </c>
      <c r="C337" s="8"/>
      <c r="D337" s="8"/>
      <c r="E337" t="s">
        <v>42</v>
      </c>
      <c r="F337">
        <f t="shared" si="321"/>
        <v>4</v>
      </c>
      <c r="G337">
        <f t="shared" si="322"/>
        <v>0</v>
      </c>
      <c r="H337" s="203" t="s">
        <v>1099</v>
      </c>
      <c r="I337" s="121">
        <v>4</v>
      </c>
      <c r="N337" s="4" t="s">
        <v>36</v>
      </c>
      <c r="P337" s="86">
        <v>0</v>
      </c>
      <c r="Q337" s="1">
        <f>ROUND((P337*0.4),0)</f>
        <v>0</v>
      </c>
      <c r="R337">
        <f t="shared" si="306"/>
        <v>0</v>
      </c>
      <c r="S337" s="6"/>
      <c r="T337" s="61"/>
      <c r="U337" s="61">
        <f t="shared" si="339"/>
        <v>0</v>
      </c>
      <c r="V337" s="7" t="str">
        <f t="shared" si="334"/>
        <v>NONE</v>
      </c>
      <c r="W337" s="56"/>
      <c r="X337" s="5"/>
      <c r="Y337" s="61">
        <f t="shared" si="323"/>
        <v>0</v>
      </c>
      <c r="Z337" s="61"/>
      <c r="AA337" s="1">
        <f t="shared" si="335"/>
        <v>0</v>
      </c>
      <c r="AB337" s="1">
        <f t="shared" si="336"/>
        <v>130</v>
      </c>
      <c r="AC337" s="1"/>
      <c r="AD337" s="65">
        <f t="shared" si="337"/>
        <v>-130</v>
      </c>
      <c r="AE337" s="1"/>
      <c r="AF337" s="1">
        <f t="shared" si="338"/>
        <v>0</v>
      </c>
      <c r="AG337" s="1">
        <f>IF(AH337&gt;0,AH200:AH337,0)</f>
        <v>0</v>
      </c>
      <c r="AH337" s="1">
        <f t="shared" si="340"/>
        <v>-130</v>
      </c>
      <c r="AJ337">
        <f t="shared" si="341"/>
        <v>0</v>
      </c>
      <c r="AK337">
        <f t="shared" si="342"/>
        <v>0</v>
      </c>
      <c r="AL337">
        <f t="shared" si="343"/>
        <v>0</v>
      </c>
      <c r="AM337">
        <f t="shared" si="344"/>
        <v>0</v>
      </c>
      <c r="AO337">
        <f t="shared" si="345"/>
        <v>0</v>
      </c>
      <c r="AP337">
        <f t="shared" si="346"/>
        <v>0</v>
      </c>
      <c r="AQ337">
        <f t="shared" si="347"/>
        <v>0</v>
      </c>
      <c r="AR337">
        <f t="shared" si="348"/>
        <v>0</v>
      </c>
    </row>
    <row r="338" spans="2:44" x14ac:dyDescent="0.25">
      <c r="B338" s="8"/>
      <c r="C338" s="8"/>
      <c r="D338" s="8"/>
      <c r="F338">
        <f t="shared" si="321"/>
        <v>0</v>
      </c>
      <c r="G338">
        <f t="shared" si="322"/>
        <v>1</v>
      </c>
      <c r="H338" s="121"/>
      <c r="I338" s="121"/>
      <c r="N338" s="4" t="s">
        <v>36</v>
      </c>
      <c r="P338" s="86">
        <v>0</v>
      </c>
      <c r="Q338" s="1">
        <f>ROUND((P338*0.4),0)</f>
        <v>0</v>
      </c>
      <c r="R338">
        <f>IF(P338&gt;0,((P338+500)-Q338)+U338,0)</f>
        <v>0</v>
      </c>
      <c r="S338" s="6"/>
      <c r="T338" s="61"/>
      <c r="U338" s="61">
        <f t="shared" si="339"/>
        <v>0</v>
      </c>
      <c r="V338" s="7" t="str">
        <f t="shared" si="334"/>
        <v>NONE</v>
      </c>
      <c r="W338" s="56"/>
      <c r="X338" s="5"/>
      <c r="Y338" s="61">
        <f>R338+Q338</f>
        <v>0</v>
      </c>
      <c r="Z338" s="61"/>
      <c r="AA338" s="1">
        <f t="shared" si="335"/>
        <v>0</v>
      </c>
      <c r="AB338" s="1">
        <f t="shared" si="336"/>
        <v>0</v>
      </c>
      <c r="AC338" s="1"/>
      <c r="AD338" s="65">
        <f t="shared" si="337"/>
        <v>0</v>
      </c>
      <c r="AE338" s="1"/>
      <c r="AF338" s="1">
        <f t="shared" si="338"/>
        <v>0</v>
      </c>
      <c r="AG338" s="1">
        <f>IF(AH338&gt;0,AH199:AH349,0)</f>
        <v>0</v>
      </c>
      <c r="AH338" s="1">
        <f t="shared" si="340"/>
        <v>0</v>
      </c>
      <c r="AJ338">
        <f t="shared" si="341"/>
        <v>0</v>
      </c>
      <c r="AK338">
        <f t="shared" si="342"/>
        <v>0</v>
      </c>
      <c r="AL338">
        <f t="shared" si="343"/>
        <v>0</v>
      </c>
      <c r="AM338">
        <f t="shared" si="344"/>
        <v>0</v>
      </c>
      <c r="AO338">
        <f t="shared" si="345"/>
        <v>0</v>
      </c>
      <c r="AP338">
        <f t="shared" si="346"/>
        <v>0</v>
      </c>
      <c r="AQ338">
        <f t="shared" si="347"/>
        <v>0</v>
      </c>
      <c r="AR338">
        <f t="shared" si="348"/>
        <v>0</v>
      </c>
    </row>
    <row r="339" spans="2:44" x14ac:dyDescent="0.25">
      <c r="B339" s="220" t="s">
        <v>1074</v>
      </c>
      <c r="C339" s="78" t="s">
        <v>1075</v>
      </c>
      <c r="D339" s="78"/>
      <c r="E339" t="s">
        <v>616</v>
      </c>
      <c r="F339">
        <f t="shared" si="321"/>
        <v>0</v>
      </c>
      <c r="G339">
        <f t="shared" si="322"/>
        <v>1</v>
      </c>
      <c r="H339" s="121" t="s">
        <v>1073</v>
      </c>
      <c r="I339" s="121">
        <v>6</v>
      </c>
      <c r="K339" t="s">
        <v>945</v>
      </c>
      <c r="N339" s="4" t="s">
        <v>36</v>
      </c>
      <c r="P339" s="86">
        <v>1892.89</v>
      </c>
      <c r="Q339" s="1">
        <f>ROUND((P339*0.5),2)</f>
        <v>946.45</v>
      </c>
      <c r="R339">
        <f t="shared" si="306"/>
        <v>1446.4400000000003</v>
      </c>
      <c r="S339" s="6">
        <v>43158</v>
      </c>
      <c r="T339" s="61"/>
      <c r="U339" s="61">
        <f t="shared" si="339"/>
        <v>0</v>
      </c>
      <c r="V339" s="7" t="str">
        <f t="shared" si="334"/>
        <v>NONE</v>
      </c>
      <c r="W339" s="56"/>
      <c r="X339" s="5" t="s">
        <v>1105</v>
      </c>
      <c r="Y339" s="192">
        <f>R339+Q339</f>
        <v>2392.8900000000003</v>
      </c>
      <c r="Z339" s="61"/>
      <c r="AA339" s="1">
        <f t="shared" si="335"/>
        <v>0</v>
      </c>
      <c r="AB339" s="1">
        <f t="shared" si="336"/>
        <v>130</v>
      </c>
      <c r="AC339" s="1"/>
      <c r="AD339" s="65">
        <f t="shared" si="337"/>
        <v>1762.89</v>
      </c>
      <c r="AE339" s="1"/>
      <c r="AF339" s="1">
        <f t="shared" si="338"/>
        <v>30</v>
      </c>
      <c r="AG339" s="1">
        <f>IF(AH339&gt;0,AH200:AH350,0)</f>
        <v>1732.89</v>
      </c>
      <c r="AH339" s="1">
        <f t="shared" si="340"/>
        <v>1732.89</v>
      </c>
      <c r="AJ339">
        <f t="shared" si="341"/>
        <v>0</v>
      </c>
      <c r="AK339">
        <f t="shared" si="342"/>
        <v>0</v>
      </c>
      <c r="AL339">
        <f t="shared" si="343"/>
        <v>0</v>
      </c>
      <c r="AM339">
        <f t="shared" si="344"/>
        <v>0</v>
      </c>
      <c r="AO339">
        <f t="shared" si="345"/>
        <v>0</v>
      </c>
      <c r="AP339">
        <f t="shared" si="346"/>
        <v>0</v>
      </c>
      <c r="AQ339">
        <f t="shared" si="347"/>
        <v>0</v>
      </c>
      <c r="AR339">
        <f t="shared" si="348"/>
        <v>0</v>
      </c>
    </row>
    <row r="340" spans="2:44" x14ac:dyDescent="0.25">
      <c r="B340" s="8"/>
      <c r="C340" s="78"/>
      <c r="D340" s="78"/>
      <c r="F340">
        <f t="shared" si="321"/>
        <v>0</v>
      </c>
      <c r="G340">
        <f t="shared" si="322"/>
        <v>1</v>
      </c>
      <c r="H340" s="121"/>
      <c r="I340" s="121"/>
      <c r="N340" s="4" t="s">
        <v>36</v>
      </c>
      <c r="P340" s="86">
        <v>2365</v>
      </c>
      <c r="Q340" s="1">
        <f>ROUND((P340*0.5),0)</f>
        <v>1183</v>
      </c>
      <c r="R340">
        <f>IF(P340&gt;0,((P340+500)-Q340)+U340,0)</f>
        <v>1682</v>
      </c>
      <c r="S340" s="6"/>
      <c r="T340" s="61"/>
      <c r="U340" s="61">
        <f t="shared" si="339"/>
        <v>0</v>
      </c>
      <c r="V340" s="7" t="str">
        <f t="shared" si="334"/>
        <v>NONE</v>
      </c>
      <c r="W340" s="56"/>
      <c r="X340" s="5"/>
      <c r="Y340" s="61">
        <f t="shared" si="323"/>
        <v>2865</v>
      </c>
      <c r="Z340" s="61"/>
      <c r="AA340" s="1">
        <f t="shared" si="335"/>
        <v>0</v>
      </c>
      <c r="AB340" s="1">
        <f t="shared" si="336"/>
        <v>0</v>
      </c>
      <c r="AC340" s="1"/>
      <c r="AD340" s="65">
        <f t="shared" si="337"/>
        <v>2365</v>
      </c>
      <c r="AE340" s="1"/>
      <c r="AF340" s="1">
        <f t="shared" si="338"/>
        <v>0</v>
      </c>
      <c r="AG340" s="1">
        <f>IF(AH340&gt;0,AH201:AH351,0)</f>
        <v>2365</v>
      </c>
      <c r="AH340" s="1">
        <f t="shared" si="340"/>
        <v>2365</v>
      </c>
      <c r="AJ340">
        <f t="shared" si="341"/>
        <v>0</v>
      </c>
      <c r="AK340">
        <f t="shared" si="342"/>
        <v>0</v>
      </c>
      <c r="AL340">
        <f t="shared" si="343"/>
        <v>0</v>
      </c>
      <c r="AM340">
        <f t="shared" si="344"/>
        <v>0</v>
      </c>
      <c r="AO340">
        <f t="shared" si="345"/>
        <v>0</v>
      </c>
      <c r="AP340">
        <f t="shared" si="346"/>
        <v>0</v>
      </c>
      <c r="AQ340">
        <f t="shared" si="347"/>
        <v>0</v>
      </c>
      <c r="AR340">
        <f t="shared" si="348"/>
        <v>0</v>
      </c>
    </row>
    <row r="341" spans="2:44" x14ac:dyDescent="0.25">
      <c r="B341" s="221" t="s">
        <v>1043</v>
      </c>
      <c r="C341" s="78" t="s">
        <v>442</v>
      </c>
      <c r="D341" s="78"/>
      <c r="E341" t="s">
        <v>1041</v>
      </c>
      <c r="F341">
        <f t="shared" si="321"/>
        <v>0</v>
      </c>
      <c r="G341">
        <f t="shared" si="322"/>
        <v>1</v>
      </c>
      <c r="H341" t="s">
        <v>1042</v>
      </c>
      <c r="I341" s="121">
        <v>7</v>
      </c>
      <c r="K341" t="s">
        <v>945</v>
      </c>
      <c r="M341" s="51"/>
      <c r="N341" s="4" t="s">
        <v>36</v>
      </c>
      <c r="P341" s="86">
        <v>1922</v>
      </c>
      <c r="Q341" s="1">
        <f>ROUND((P341*0.4),0)</f>
        <v>769</v>
      </c>
      <c r="R341">
        <f t="shared" si="306"/>
        <v>1653</v>
      </c>
      <c r="S341" s="218" t="s">
        <v>1044</v>
      </c>
      <c r="T341" s="61"/>
      <c r="U341" s="61">
        <f t="shared" si="339"/>
        <v>0</v>
      </c>
      <c r="V341" s="7" t="str">
        <f t="shared" si="334"/>
        <v>NONE</v>
      </c>
      <c r="W341" s="56"/>
      <c r="X341" s="5" t="s">
        <v>1109</v>
      </c>
      <c r="Y341" s="61">
        <f>R341+Q341</f>
        <v>2422</v>
      </c>
      <c r="Z341" s="61"/>
      <c r="AA341" s="1">
        <f t="shared" si="335"/>
        <v>0</v>
      </c>
      <c r="AB341" s="1">
        <f t="shared" si="336"/>
        <v>130</v>
      </c>
      <c r="AC341" s="1"/>
      <c r="AD341" s="65">
        <f t="shared" si="337"/>
        <v>1792</v>
      </c>
      <c r="AE341" s="1"/>
      <c r="AF341" s="1">
        <f t="shared" si="338"/>
        <v>30</v>
      </c>
      <c r="AG341" s="1">
        <f>IF(AH341&gt;0,AH205:AH341,0)</f>
        <v>1762</v>
      </c>
      <c r="AH341" s="1">
        <f t="shared" si="340"/>
        <v>1762</v>
      </c>
      <c r="AJ341">
        <f t="shared" si="341"/>
        <v>0</v>
      </c>
      <c r="AK341">
        <f t="shared" si="342"/>
        <v>0</v>
      </c>
      <c r="AL341">
        <f t="shared" si="343"/>
        <v>0</v>
      </c>
      <c r="AM341">
        <f t="shared" si="344"/>
        <v>0</v>
      </c>
      <c r="AO341">
        <f t="shared" si="345"/>
        <v>0</v>
      </c>
      <c r="AP341">
        <f t="shared" si="346"/>
        <v>0</v>
      </c>
      <c r="AQ341">
        <f t="shared" si="347"/>
        <v>0</v>
      </c>
      <c r="AR341">
        <f t="shared" si="348"/>
        <v>0</v>
      </c>
    </row>
    <row r="342" spans="2:44" x14ac:dyDescent="0.25">
      <c r="B342" s="8"/>
      <c r="C342" s="8"/>
      <c r="D342" s="8"/>
      <c r="F342">
        <f t="shared" si="321"/>
        <v>0</v>
      </c>
      <c r="G342">
        <f t="shared" si="322"/>
        <v>1</v>
      </c>
      <c r="I342" s="121"/>
      <c r="N342" s="4" t="s">
        <v>36</v>
      </c>
      <c r="P342" s="86">
        <v>0</v>
      </c>
      <c r="Q342" s="1">
        <f>ROUND((P342*0.4),0)</f>
        <v>0</v>
      </c>
      <c r="R342">
        <f t="shared" si="306"/>
        <v>0</v>
      </c>
      <c r="S342" s="6"/>
      <c r="T342" s="61"/>
      <c r="U342" s="61">
        <f t="shared" ref="U342:U365" si="349">IF(V342=$AE$2,47,IF(V342=$AE$1,ROUND(((P342+500)*0.039),0),IF(V342=$AE$3,0)))</f>
        <v>0</v>
      </c>
      <c r="V342" s="7" t="str">
        <f t="shared" ref="V342:V365" si="350">IF(W342=1,$AE$2,IF(W342=2,$AE$1,IF(AND(W342&lt;&gt;1,W342&lt;&gt;20)=TRUE,$AE$3)))</f>
        <v>NONE</v>
      </c>
      <c r="W342" s="56"/>
      <c r="X342" s="5"/>
      <c r="Y342" s="61">
        <f t="shared" si="323"/>
        <v>0</v>
      </c>
      <c r="Z342" s="61"/>
      <c r="AA342" s="1">
        <f t="shared" si="335"/>
        <v>0</v>
      </c>
      <c r="AB342" s="1">
        <f t="shared" ref="AB342:AB365" si="351">IF(I342&gt;0,130,0)</f>
        <v>0</v>
      </c>
      <c r="AC342" s="1"/>
      <c r="AD342" s="65">
        <f t="shared" ref="AD342:AD365" si="352">(P342+U342)-AB342</f>
        <v>0</v>
      </c>
      <c r="AE342" s="1"/>
      <c r="AF342" s="1">
        <f t="shared" ref="AF342:AF365" si="353">IF(I342&gt;0,30*G342,0)</f>
        <v>0</v>
      </c>
      <c r="AG342" s="1">
        <f>IF(AH342&gt;0,AH205:AH342,0)</f>
        <v>0</v>
      </c>
      <c r="AH342" s="1">
        <f t="shared" ref="AH342:AH365" si="354">AD342-AF342</f>
        <v>0</v>
      </c>
      <c r="AJ342">
        <f t="shared" ref="AJ342:AJ365" si="355">IF(T342=1,P342-U342,0)</f>
        <v>0</v>
      </c>
      <c r="AK342">
        <f t="shared" ref="AK342:AK365" si="356">IF(T342=2,P342-U342,0)</f>
        <v>0</v>
      </c>
      <c r="AL342">
        <f t="shared" ref="AL342:AL365" si="357">IF(T342=3,P342-U342,0)</f>
        <v>0</v>
      </c>
      <c r="AM342">
        <f t="shared" ref="AM342:AM365" si="358">IF(T342=4,P342-U342,0)</f>
        <v>0</v>
      </c>
      <c r="AO342">
        <f t="shared" ref="AO342:AO365" si="359">IF(T342=1,P342-U342,0)</f>
        <v>0</v>
      </c>
      <c r="AP342">
        <f t="shared" ref="AP342:AP365" si="360">IF(T342=2,P342-U342,0)</f>
        <v>0</v>
      </c>
      <c r="AQ342">
        <f t="shared" ref="AQ342:AQ365" si="361">IF(T342=3,P342-U342,0)</f>
        <v>0</v>
      </c>
      <c r="AR342">
        <f t="shared" ref="AR342:AR365" si="362">IF(T342=4,P342-U342,0)</f>
        <v>0</v>
      </c>
    </row>
    <row r="343" spans="2:44" x14ac:dyDescent="0.25">
      <c r="B343" s="82" t="s">
        <v>82</v>
      </c>
      <c r="C343" s="8"/>
      <c r="D343" s="8"/>
      <c r="E343" t="s">
        <v>42</v>
      </c>
      <c r="F343">
        <f>IF(E343=$B$12,I343,0)</f>
        <v>4</v>
      </c>
      <c r="G343">
        <f t="shared" si="322"/>
        <v>0</v>
      </c>
      <c r="H343" s="121" t="s">
        <v>1008</v>
      </c>
      <c r="I343" s="121">
        <v>4</v>
      </c>
      <c r="M343" s="51"/>
      <c r="N343" s="4" t="s">
        <v>36</v>
      </c>
      <c r="P343" s="86">
        <v>0</v>
      </c>
      <c r="Q343" s="1">
        <f>ROUND((P343*0.4),0)</f>
        <v>0</v>
      </c>
      <c r="R343">
        <f t="shared" si="306"/>
        <v>0</v>
      </c>
      <c r="S343" s="6"/>
      <c r="T343" s="61"/>
      <c r="U343" s="61">
        <f t="shared" si="349"/>
        <v>0</v>
      </c>
      <c r="V343" s="7" t="str">
        <f t="shared" si="350"/>
        <v>NONE</v>
      </c>
      <c r="W343" s="56"/>
      <c r="X343" s="5"/>
      <c r="Y343" s="61">
        <f t="shared" si="323"/>
        <v>0</v>
      </c>
      <c r="Z343" s="61"/>
      <c r="AA343" s="1">
        <f t="shared" si="335"/>
        <v>0</v>
      </c>
      <c r="AB343" s="1">
        <f t="shared" si="351"/>
        <v>130</v>
      </c>
      <c r="AC343" s="1"/>
      <c r="AD343" s="65">
        <f t="shared" si="352"/>
        <v>-130</v>
      </c>
      <c r="AE343" s="1"/>
      <c r="AF343" s="1">
        <f t="shared" si="353"/>
        <v>0</v>
      </c>
      <c r="AG343" s="1">
        <f>IF(AH343&gt;0,AH207:AH343,0)</f>
        <v>0</v>
      </c>
      <c r="AH343" s="1">
        <f t="shared" si="354"/>
        <v>-130</v>
      </c>
      <c r="AJ343">
        <f t="shared" si="355"/>
        <v>0</v>
      </c>
      <c r="AK343">
        <f t="shared" si="356"/>
        <v>0</v>
      </c>
      <c r="AL343">
        <f t="shared" si="357"/>
        <v>0</v>
      </c>
      <c r="AM343">
        <f t="shared" si="358"/>
        <v>0</v>
      </c>
      <c r="AO343">
        <f t="shared" si="359"/>
        <v>0</v>
      </c>
      <c r="AP343">
        <f t="shared" si="360"/>
        <v>0</v>
      </c>
      <c r="AQ343">
        <f t="shared" si="361"/>
        <v>0</v>
      </c>
      <c r="AR343">
        <f t="shared" si="362"/>
        <v>0</v>
      </c>
    </row>
    <row r="344" spans="2:44" ht="15.75" customHeight="1" x14ac:dyDescent="0.25">
      <c r="B344" s="8"/>
      <c r="C344" s="8"/>
      <c r="D344" s="8"/>
      <c r="F344">
        <f t="shared" si="321"/>
        <v>0</v>
      </c>
      <c r="G344">
        <f t="shared" si="322"/>
        <v>1</v>
      </c>
      <c r="I344" s="121"/>
      <c r="N344" s="4" t="s">
        <v>36</v>
      </c>
      <c r="P344" s="86">
        <v>0</v>
      </c>
      <c r="Q344" s="1">
        <f>ROUND((P344*0.4),0)</f>
        <v>0</v>
      </c>
      <c r="R344">
        <f t="shared" si="306"/>
        <v>0</v>
      </c>
      <c r="S344" s="6"/>
      <c r="T344" s="61"/>
      <c r="U344" s="61">
        <f t="shared" si="349"/>
        <v>0</v>
      </c>
      <c r="V344" s="7" t="str">
        <f t="shared" si="350"/>
        <v>NONE</v>
      </c>
      <c r="W344" s="56"/>
      <c r="X344" s="5"/>
      <c r="Y344" s="61">
        <f t="shared" si="323"/>
        <v>0</v>
      </c>
      <c r="Z344" s="61"/>
      <c r="AA344" s="1">
        <f t="shared" si="335"/>
        <v>0</v>
      </c>
      <c r="AB344" s="1">
        <f t="shared" si="351"/>
        <v>0</v>
      </c>
      <c r="AC344" s="1"/>
      <c r="AD344" s="65">
        <f t="shared" si="352"/>
        <v>0</v>
      </c>
      <c r="AE344" s="1"/>
      <c r="AF344" s="1">
        <f t="shared" si="353"/>
        <v>0</v>
      </c>
      <c r="AG344" s="1">
        <f>IF(AH344&gt;0,AH203:AH344,0)</f>
        <v>0</v>
      </c>
      <c r="AH344" s="1">
        <f t="shared" si="354"/>
        <v>0</v>
      </c>
      <c r="AJ344">
        <f t="shared" si="355"/>
        <v>0</v>
      </c>
      <c r="AK344">
        <f t="shared" si="356"/>
        <v>0</v>
      </c>
      <c r="AL344">
        <f t="shared" si="357"/>
        <v>0</v>
      </c>
      <c r="AM344">
        <f t="shared" si="358"/>
        <v>0</v>
      </c>
      <c r="AO344">
        <f t="shared" si="359"/>
        <v>0</v>
      </c>
      <c r="AP344">
        <f t="shared" si="360"/>
        <v>0</v>
      </c>
      <c r="AQ344">
        <f t="shared" si="361"/>
        <v>0</v>
      </c>
      <c r="AR344">
        <f t="shared" si="362"/>
        <v>0</v>
      </c>
    </row>
    <row r="345" spans="2:44" x14ac:dyDescent="0.25">
      <c r="B345" s="85" t="s">
        <v>1054</v>
      </c>
      <c r="C345" s="78" t="s">
        <v>1055</v>
      </c>
      <c r="D345" s="78"/>
      <c r="E345" t="s">
        <v>822</v>
      </c>
      <c r="F345">
        <f t="shared" si="321"/>
        <v>0</v>
      </c>
      <c r="G345">
        <f t="shared" si="322"/>
        <v>1</v>
      </c>
      <c r="H345" t="s">
        <v>1053</v>
      </c>
      <c r="I345" s="121">
        <v>7</v>
      </c>
      <c r="K345" t="s">
        <v>1056</v>
      </c>
      <c r="N345" s="4" t="s">
        <v>36</v>
      </c>
      <c r="P345" s="86">
        <v>1562</v>
      </c>
      <c r="Q345" s="1">
        <f>ROUND((P345*0.5),0)</f>
        <v>781</v>
      </c>
      <c r="R345">
        <f t="shared" si="306"/>
        <v>1281</v>
      </c>
      <c r="S345" s="6">
        <v>42839</v>
      </c>
      <c r="T345" s="61"/>
      <c r="U345" s="61">
        <f t="shared" si="349"/>
        <v>0</v>
      </c>
      <c r="V345" s="7" t="str">
        <f t="shared" si="350"/>
        <v>NONE</v>
      </c>
      <c r="W345" s="56"/>
      <c r="X345" s="5" t="s">
        <v>1110</v>
      </c>
      <c r="Y345" s="61">
        <f t="shared" si="323"/>
        <v>2062</v>
      </c>
      <c r="Z345" s="61"/>
      <c r="AA345" s="1">
        <f t="shared" ref="AA345:AA365" si="363">IF(X345=$AA$1,R345-500,0)</f>
        <v>0</v>
      </c>
      <c r="AB345" s="1">
        <f t="shared" si="351"/>
        <v>130</v>
      </c>
      <c r="AC345" s="1"/>
      <c r="AD345" s="65">
        <f t="shared" si="352"/>
        <v>1432</v>
      </c>
      <c r="AE345" s="1"/>
      <c r="AF345" s="1">
        <f t="shared" si="353"/>
        <v>30</v>
      </c>
      <c r="AG345" s="1">
        <f>IF(AH345&gt;0,AH205:AH345,0)</f>
        <v>1402</v>
      </c>
      <c r="AH345" s="1">
        <f t="shared" si="354"/>
        <v>1402</v>
      </c>
      <c r="AJ345">
        <f t="shared" si="355"/>
        <v>0</v>
      </c>
      <c r="AK345">
        <f t="shared" si="356"/>
        <v>0</v>
      </c>
      <c r="AL345">
        <f t="shared" si="357"/>
        <v>0</v>
      </c>
      <c r="AM345">
        <f t="shared" si="358"/>
        <v>0</v>
      </c>
      <c r="AO345">
        <f t="shared" si="359"/>
        <v>0</v>
      </c>
      <c r="AP345">
        <f t="shared" si="360"/>
        <v>0</v>
      </c>
      <c r="AQ345">
        <f t="shared" si="361"/>
        <v>0</v>
      </c>
      <c r="AR345">
        <f t="shared" si="362"/>
        <v>0</v>
      </c>
    </row>
    <row r="346" spans="2:44" x14ac:dyDescent="0.25">
      <c r="B346" t="s">
        <v>1103</v>
      </c>
      <c r="C346" s="78" t="s">
        <v>1102</v>
      </c>
      <c r="D346" s="78"/>
      <c r="E346" t="s">
        <v>370</v>
      </c>
      <c r="F346">
        <f t="shared" si="321"/>
        <v>0</v>
      </c>
      <c r="G346">
        <f t="shared" si="322"/>
        <v>1</v>
      </c>
      <c r="H346" s="121" t="s">
        <v>1100</v>
      </c>
      <c r="I346" s="121">
        <v>6</v>
      </c>
      <c r="K346" t="s">
        <v>1101</v>
      </c>
      <c r="N346" s="4" t="s">
        <v>36</v>
      </c>
      <c r="P346" s="86">
        <v>2806.53</v>
      </c>
      <c r="Q346" s="1">
        <v>2806.53</v>
      </c>
      <c r="R346">
        <v>0</v>
      </c>
      <c r="S346" s="136" t="s">
        <v>1104</v>
      </c>
      <c r="T346" s="61"/>
      <c r="U346" s="61">
        <f t="shared" si="349"/>
        <v>0</v>
      </c>
      <c r="V346" s="7" t="str">
        <f t="shared" si="350"/>
        <v>NONE</v>
      </c>
      <c r="W346" s="56"/>
      <c r="X346" s="87" t="s">
        <v>1111</v>
      </c>
      <c r="Y346" s="61">
        <f t="shared" si="323"/>
        <v>2806.53</v>
      </c>
      <c r="Z346" s="61"/>
      <c r="AA346" s="1">
        <f t="shared" si="363"/>
        <v>0</v>
      </c>
      <c r="AB346" s="1">
        <f t="shared" si="351"/>
        <v>130</v>
      </c>
      <c r="AC346" s="1"/>
      <c r="AD346" s="65">
        <f t="shared" si="352"/>
        <v>2676.53</v>
      </c>
      <c r="AE346" s="1"/>
      <c r="AF346" s="1">
        <f t="shared" si="353"/>
        <v>30</v>
      </c>
      <c r="AG346" s="1">
        <f>IF(AH346&gt;0,AH205:AH355,0)</f>
        <v>2646.53</v>
      </c>
      <c r="AH346" s="1">
        <f t="shared" si="354"/>
        <v>2646.53</v>
      </c>
      <c r="AJ346">
        <f t="shared" si="355"/>
        <v>0</v>
      </c>
      <c r="AK346">
        <f t="shared" si="356"/>
        <v>0</v>
      </c>
      <c r="AL346">
        <f t="shared" si="357"/>
        <v>0</v>
      </c>
      <c r="AM346">
        <f t="shared" si="358"/>
        <v>0</v>
      </c>
      <c r="AO346">
        <f t="shared" si="359"/>
        <v>0</v>
      </c>
      <c r="AP346">
        <f t="shared" si="360"/>
        <v>0</v>
      </c>
      <c r="AQ346">
        <f t="shared" si="361"/>
        <v>0</v>
      </c>
      <c r="AR346">
        <f t="shared" si="362"/>
        <v>0</v>
      </c>
    </row>
    <row r="347" spans="2:44" ht="13.15" customHeight="1" x14ac:dyDescent="0.25">
      <c r="B347" s="82" t="s">
        <v>82</v>
      </c>
      <c r="C347" s="8"/>
      <c r="D347" s="8"/>
      <c r="E347" t="s">
        <v>42</v>
      </c>
      <c r="F347">
        <f t="shared" si="321"/>
        <v>5</v>
      </c>
      <c r="G347">
        <f t="shared" si="322"/>
        <v>0</v>
      </c>
      <c r="H347" s="161" t="s">
        <v>1089</v>
      </c>
      <c r="I347" s="121">
        <v>5</v>
      </c>
      <c r="N347" s="4" t="s">
        <v>36</v>
      </c>
      <c r="P347" s="86">
        <v>0</v>
      </c>
      <c r="Q347" s="1">
        <f>ROUND((P347*0.4),0)</f>
        <v>0</v>
      </c>
      <c r="R347">
        <f t="shared" si="306"/>
        <v>0</v>
      </c>
      <c r="S347" s="6"/>
      <c r="T347" s="61"/>
      <c r="U347" s="61">
        <f t="shared" si="349"/>
        <v>0</v>
      </c>
      <c r="V347" s="7" t="str">
        <f t="shared" si="350"/>
        <v>NONE</v>
      </c>
      <c r="W347" s="56"/>
      <c r="X347" s="5"/>
      <c r="Y347" s="61">
        <f t="shared" si="323"/>
        <v>0</v>
      </c>
      <c r="Z347" s="61"/>
      <c r="AA347" s="1">
        <f t="shared" si="363"/>
        <v>0</v>
      </c>
      <c r="AB347" s="1">
        <f t="shared" si="351"/>
        <v>130</v>
      </c>
      <c r="AC347" s="1"/>
      <c r="AD347" s="65">
        <f t="shared" si="352"/>
        <v>-130</v>
      </c>
      <c r="AE347" s="1"/>
      <c r="AF347" s="1">
        <f t="shared" si="353"/>
        <v>0</v>
      </c>
      <c r="AG347" s="1">
        <f>IF(AH347&gt;0,AH208:AH347,0)</f>
        <v>0</v>
      </c>
      <c r="AH347" s="1">
        <f t="shared" si="354"/>
        <v>-130</v>
      </c>
      <c r="AJ347">
        <f t="shared" si="355"/>
        <v>0</v>
      </c>
      <c r="AK347">
        <f t="shared" si="356"/>
        <v>0</v>
      </c>
      <c r="AL347">
        <f t="shared" si="357"/>
        <v>0</v>
      </c>
      <c r="AM347">
        <f t="shared" si="358"/>
        <v>0</v>
      </c>
      <c r="AO347">
        <f t="shared" si="359"/>
        <v>0</v>
      </c>
      <c r="AP347">
        <f t="shared" si="360"/>
        <v>0</v>
      </c>
      <c r="AQ347">
        <f t="shared" si="361"/>
        <v>0</v>
      </c>
      <c r="AR347">
        <f t="shared" si="362"/>
        <v>0</v>
      </c>
    </row>
    <row r="348" spans="2:44" x14ac:dyDescent="0.25">
      <c r="B348" s="8"/>
      <c r="F348">
        <f t="shared" si="321"/>
        <v>0</v>
      </c>
      <c r="G348">
        <f t="shared" si="322"/>
        <v>1</v>
      </c>
      <c r="I348" s="121"/>
      <c r="M348" s="87"/>
      <c r="N348" s="4" t="s">
        <v>36</v>
      </c>
      <c r="P348" s="86">
        <v>0</v>
      </c>
      <c r="Q348" s="1">
        <f>ROUND((P348*0.4),0)</f>
        <v>0</v>
      </c>
      <c r="R348">
        <f t="shared" si="306"/>
        <v>0</v>
      </c>
      <c r="S348" s="6"/>
      <c r="T348" s="61"/>
      <c r="U348" s="61">
        <f t="shared" si="349"/>
        <v>0</v>
      </c>
      <c r="V348" s="7" t="str">
        <f t="shared" si="350"/>
        <v>NONE</v>
      </c>
      <c r="W348" s="56"/>
      <c r="X348" s="5"/>
      <c r="Y348" s="61">
        <f t="shared" si="323"/>
        <v>0</v>
      </c>
      <c r="Z348" s="61"/>
      <c r="AA348" s="1">
        <f t="shared" si="363"/>
        <v>0</v>
      </c>
      <c r="AB348" s="1">
        <f t="shared" si="351"/>
        <v>0</v>
      </c>
      <c r="AC348" s="1"/>
      <c r="AD348" s="65">
        <f t="shared" si="352"/>
        <v>0</v>
      </c>
      <c r="AE348" s="1"/>
      <c r="AF348" s="1">
        <f t="shared" si="353"/>
        <v>0</v>
      </c>
      <c r="AG348" s="1">
        <f>IF(AH348&gt;0,AH208:AH348,0)</f>
        <v>0</v>
      </c>
      <c r="AH348" s="1">
        <f t="shared" si="354"/>
        <v>0</v>
      </c>
      <c r="AJ348">
        <f t="shared" si="355"/>
        <v>0</v>
      </c>
      <c r="AK348">
        <f t="shared" si="356"/>
        <v>0</v>
      </c>
      <c r="AL348">
        <f t="shared" si="357"/>
        <v>0</v>
      </c>
      <c r="AM348">
        <f t="shared" si="358"/>
        <v>0</v>
      </c>
      <c r="AO348">
        <f t="shared" si="359"/>
        <v>0</v>
      </c>
      <c r="AP348">
        <f t="shared" si="360"/>
        <v>0</v>
      </c>
      <c r="AQ348">
        <f t="shared" si="361"/>
        <v>0</v>
      </c>
      <c r="AR348">
        <f t="shared" si="362"/>
        <v>0</v>
      </c>
    </row>
    <row r="349" spans="2:44" x14ac:dyDescent="0.25">
      <c r="B349" s="222" t="s">
        <v>1092</v>
      </c>
      <c r="C349" s="78" t="s">
        <v>1093</v>
      </c>
      <c r="D349" s="78"/>
      <c r="E349" t="s">
        <v>370</v>
      </c>
      <c r="F349">
        <f t="shared" si="321"/>
        <v>0</v>
      </c>
      <c r="G349">
        <f t="shared" si="322"/>
        <v>1</v>
      </c>
      <c r="H349" t="s">
        <v>1091</v>
      </c>
      <c r="I349" s="121">
        <v>5</v>
      </c>
      <c r="K349" t="s">
        <v>938</v>
      </c>
      <c r="N349" s="4" t="s">
        <v>36</v>
      </c>
      <c r="P349" s="86">
        <f>Q349+R349-500</f>
        <v>1530.9499999999998</v>
      </c>
      <c r="Q349" s="1">
        <f>896.43-131</f>
        <v>765.43</v>
      </c>
      <c r="R349">
        <v>1265.52</v>
      </c>
      <c r="S349" s="6">
        <v>43222</v>
      </c>
      <c r="T349" s="61"/>
      <c r="U349" s="61">
        <f t="shared" si="349"/>
        <v>0</v>
      </c>
      <c r="V349" s="7" t="str">
        <f t="shared" si="350"/>
        <v>NONE</v>
      </c>
      <c r="W349" s="56"/>
      <c r="X349" s="5" t="s">
        <v>958</v>
      </c>
      <c r="Y349" s="182">
        <f t="shared" si="323"/>
        <v>2030.9499999999998</v>
      </c>
      <c r="Z349" s="61"/>
      <c r="AA349" s="1">
        <f t="shared" si="363"/>
        <v>0</v>
      </c>
      <c r="AB349" s="1">
        <f t="shared" si="351"/>
        <v>130</v>
      </c>
      <c r="AC349" s="1"/>
      <c r="AD349" s="65">
        <f t="shared" si="352"/>
        <v>1400.9499999999998</v>
      </c>
      <c r="AE349" s="1"/>
      <c r="AF349" s="1">
        <f t="shared" si="353"/>
        <v>30</v>
      </c>
      <c r="AG349" s="1">
        <f>IF(AH349&gt;0,AH209:AH349,0)</f>
        <v>1370.9499999999998</v>
      </c>
      <c r="AH349" s="1">
        <f t="shared" si="354"/>
        <v>1370.9499999999998</v>
      </c>
      <c r="AJ349">
        <f t="shared" si="355"/>
        <v>0</v>
      </c>
      <c r="AK349">
        <f t="shared" si="356"/>
        <v>0</v>
      </c>
      <c r="AL349">
        <f t="shared" si="357"/>
        <v>0</v>
      </c>
      <c r="AM349">
        <f t="shared" si="358"/>
        <v>0</v>
      </c>
      <c r="AO349">
        <f t="shared" si="359"/>
        <v>0</v>
      </c>
      <c r="AP349">
        <f t="shared" si="360"/>
        <v>0</v>
      </c>
      <c r="AQ349">
        <f t="shared" si="361"/>
        <v>0</v>
      </c>
      <c r="AR349">
        <f t="shared" si="362"/>
        <v>0</v>
      </c>
    </row>
    <row r="350" spans="2:44" x14ac:dyDescent="0.25">
      <c r="G350">
        <f t="shared" si="322"/>
        <v>1</v>
      </c>
      <c r="I350" s="121"/>
      <c r="N350" s="4" t="s">
        <v>36</v>
      </c>
      <c r="P350" s="86">
        <v>0</v>
      </c>
      <c r="Q350" s="1">
        <v>0</v>
      </c>
      <c r="R350">
        <v>0</v>
      </c>
      <c r="S350" s="6"/>
      <c r="T350" s="61"/>
      <c r="U350" s="61">
        <f t="shared" si="349"/>
        <v>0</v>
      </c>
      <c r="V350" s="7" t="str">
        <f t="shared" si="350"/>
        <v>NONE</v>
      </c>
      <c r="W350" s="56"/>
      <c r="X350" s="5"/>
      <c r="Y350" s="61">
        <f t="shared" si="323"/>
        <v>0</v>
      </c>
      <c r="Z350" s="61"/>
      <c r="AA350" s="1">
        <f t="shared" si="363"/>
        <v>0</v>
      </c>
      <c r="AB350" s="1">
        <f t="shared" si="351"/>
        <v>0</v>
      </c>
      <c r="AC350" s="1"/>
      <c r="AD350" s="65">
        <f t="shared" si="352"/>
        <v>0</v>
      </c>
      <c r="AE350" s="1"/>
      <c r="AF350" s="1">
        <f t="shared" si="353"/>
        <v>0</v>
      </c>
      <c r="AG350" s="1">
        <f>IF(AH350&gt;0,AH208:AH355,0)</f>
        <v>0</v>
      </c>
      <c r="AH350" s="1">
        <f t="shared" si="354"/>
        <v>0</v>
      </c>
      <c r="AJ350">
        <f t="shared" si="355"/>
        <v>0</v>
      </c>
      <c r="AK350">
        <f t="shared" si="356"/>
        <v>0</v>
      </c>
      <c r="AL350">
        <f t="shared" si="357"/>
        <v>0</v>
      </c>
      <c r="AM350">
        <f t="shared" si="358"/>
        <v>0</v>
      </c>
      <c r="AO350">
        <f t="shared" si="359"/>
        <v>0</v>
      </c>
      <c r="AP350">
        <f t="shared" si="360"/>
        <v>0</v>
      </c>
      <c r="AQ350">
        <f t="shared" si="361"/>
        <v>0</v>
      </c>
      <c r="AR350">
        <f t="shared" si="362"/>
        <v>0</v>
      </c>
    </row>
    <row r="351" spans="2:44" ht="13.9" customHeight="1" x14ac:dyDescent="0.25">
      <c r="B351" s="82" t="s">
        <v>82</v>
      </c>
      <c r="C351" s="8"/>
      <c r="D351" s="8"/>
      <c r="E351" t="s">
        <v>42</v>
      </c>
      <c r="F351">
        <f t="shared" si="321"/>
        <v>31</v>
      </c>
      <c r="G351">
        <f t="shared" si="322"/>
        <v>0</v>
      </c>
      <c r="H351" s="121" t="s">
        <v>1090</v>
      </c>
      <c r="I351" s="121">
        <v>31</v>
      </c>
      <c r="N351" s="4" t="s">
        <v>36</v>
      </c>
      <c r="P351" s="86">
        <v>0</v>
      </c>
      <c r="Q351" s="1">
        <f>ROUND((P351*0.4),0)</f>
        <v>0</v>
      </c>
      <c r="R351">
        <f t="shared" si="306"/>
        <v>0</v>
      </c>
      <c r="S351" s="6"/>
      <c r="T351" s="61"/>
      <c r="U351" s="61">
        <f t="shared" si="349"/>
        <v>0</v>
      </c>
      <c r="V351" s="7" t="str">
        <f t="shared" si="350"/>
        <v>NONE</v>
      </c>
      <c r="W351" s="56"/>
      <c r="X351" s="5"/>
      <c r="Y351" s="61">
        <f t="shared" si="323"/>
        <v>0</v>
      </c>
      <c r="Z351" s="61"/>
      <c r="AA351" s="1">
        <f t="shared" si="363"/>
        <v>0</v>
      </c>
      <c r="AB351" s="1">
        <f t="shared" si="351"/>
        <v>130</v>
      </c>
      <c r="AC351" s="1"/>
      <c r="AD351" s="65">
        <f t="shared" si="352"/>
        <v>-130</v>
      </c>
      <c r="AE351" s="1"/>
      <c r="AF351" s="1">
        <f t="shared" si="353"/>
        <v>0</v>
      </c>
      <c r="AG351" s="1">
        <f>IF(AH351&gt;0,AH210:AH351,0)</f>
        <v>0</v>
      </c>
      <c r="AH351" s="1">
        <f t="shared" si="354"/>
        <v>-130</v>
      </c>
      <c r="AJ351">
        <f t="shared" si="355"/>
        <v>0</v>
      </c>
      <c r="AK351">
        <f t="shared" si="356"/>
        <v>0</v>
      </c>
      <c r="AL351">
        <f t="shared" si="357"/>
        <v>0</v>
      </c>
      <c r="AM351">
        <f t="shared" si="358"/>
        <v>0</v>
      </c>
      <c r="AO351">
        <f t="shared" si="359"/>
        <v>0</v>
      </c>
      <c r="AP351">
        <f t="shared" si="360"/>
        <v>0</v>
      </c>
      <c r="AQ351">
        <f t="shared" si="361"/>
        <v>0</v>
      </c>
      <c r="AR351">
        <f t="shared" si="362"/>
        <v>0</v>
      </c>
    </row>
    <row r="352" spans="2:44" x14ac:dyDescent="0.25">
      <c r="B352" s="225" t="s">
        <v>1116</v>
      </c>
      <c r="C352" s="78" t="s">
        <v>1112</v>
      </c>
      <c r="D352" s="78"/>
      <c r="E352" t="s">
        <v>1113</v>
      </c>
      <c r="F352">
        <f t="shared" si="321"/>
        <v>0</v>
      </c>
      <c r="G352">
        <f t="shared" si="322"/>
        <v>1</v>
      </c>
      <c r="H352" s="121" t="s">
        <v>1114</v>
      </c>
      <c r="I352" s="121">
        <v>6</v>
      </c>
      <c r="K352" t="s">
        <v>1115</v>
      </c>
      <c r="N352" s="4" t="s">
        <v>36</v>
      </c>
      <c r="P352" s="86">
        <v>1921</v>
      </c>
      <c r="Q352" s="1">
        <v>0</v>
      </c>
      <c r="R352">
        <f t="shared" si="306"/>
        <v>2421</v>
      </c>
      <c r="S352" s="6"/>
      <c r="T352" s="61"/>
      <c r="U352" s="61">
        <f t="shared" si="349"/>
        <v>0</v>
      </c>
      <c r="V352" s="7" t="str">
        <f t="shared" si="350"/>
        <v>NONE</v>
      </c>
      <c r="W352" s="56"/>
      <c r="X352" s="223" t="s">
        <v>1121</v>
      </c>
      <c r="Y352" s="61">
        <f t="shared" si="323"/>
        <v>2421</v>
      </c>
      <c r="Z352" s="61"/>
      <c r="AA352" s="1">
        <f t="shared" si="363"/>
        <v>0</v>
      </c>
      <c r="AB352" s="1">
        <f t="shared" si="351"/>
        <v>130</v>
      </c>
      <c r="AC352" s="1"/>
      <c r="AD352" s="65">
        <f t="shared" si="352"/>
        <v>1791</v>
      </c>
      <c r="AE352" s="1"/>
      <c r="AF352" s="1">
        <f t="shared" si="353"/>
        <v>30</v>
      </c>
      <c r="AG352" s="1">
        <f>IF(AH352&gt;0,AH208:AH352,0)</f>
        <v>1761</v>
      </c>
      <c r="AH352" s="1">
        <f t="shared" si="354"/>
        <v>1761</v>
      </c>
      <c r="AJ352">
        <f t="shared" si="355"/>
        <v>0</v>
      </c>
      <c r="AK352">
        <f t="shared" si="356"/>
        <v>0</v>
      </c>
      <c r="AL352">
        <f t="shared" si="357"/>
        <v>0</v>
      </c>
      <c r="AM352">
        <f t="shared" si="358"/>
        <v>0</v>
      </c>
      <c r="AO352">
        <f t="shared" si="359"/>
        <v>0</v>
      </c>
      <c r="AP352">
        <f t="shared" si="360"/>
        <v>0</v>
      </c>
      <c r="AQ352">
        <f t="shared" si="361"/>
        <v>0</v>
      </c>
      <c r="AR352">
        <f t="shared" si="362"/>
        <v>0</v>
      </c>
    </row>
    <row r="353" spans="1:45" x14ac:dyDescent="0.25">
      <c r="B353" s="8"/>
      <c r="C353" s="78"/>
      <c r="D353" s="78"/>
      <c r="F353">
        <f t="shared" si="321"/>
        <v>0</v>
      </c>
      <c r="G353">
        <f t="shared" si="322"/>
        <v>1</v>
      </c>
      <c r="H353" s="121"/>
      <c r="I353" s="121"/>
      <c r="N353" s="4" t="s">
        <v>36</v>
      </c>
      <c r="P353" s="86">
        <v>0</v>
      </c>
      <c r="Q353" s="1">
        <v>0</v>
      </c>
      <c r="R353">
        <f t="shared" si="306"/>
        <v>0</v>
      </c>
      <c r="S353" s="6"/>
      <c r="T353" s="61"/>
      <c r="U353" s="61">
        <f t="shared" si="349"/>
        <v>0</v>
      </c>
      <c r="V353" s="7" t="str">
        <f t="shared" si="350"/>
        <v>NONE</v>
      </c>
      <c r="W353" s="56"/>
      <c r="X353" s="5"/>
      <c r="Y353" s="61">
        <f t="shared" si="323"/>
        <v>0</v>
      </c>
      <c r="Z353" s="61"/>
      <c r="AA353" s="1">
        <f t="shared" si="363"/>
        <v>0</v>
      </c>
      <c r="AB353" s="1">
        <f t="shared" si="351"/>
        <v>0</v>
      </c>
      <c r="AC353" s="1"/>
      <c r="AD353" s="65">
        <f t="shared" si="352"/>
        <v>0</v>
      </c>
      <c r="AE353" s="1"/>
      <c r="AF353" s="1">
        <f t="shared" si="353"/>
        <v>0</v>
      </c>
      <c r="AG353" s="1">
        <f>IF(AH353&gt;0,AH210:AH357,0)</f>
        <v>0</v>
      </c>
      <c r="AH353" s="1">
        <f t="shared" si="354"/>
        <v>0</v>
      </c>
      <c r="AJ353">
        <f t="shared" si="355"/>
        <v>0</v>
      </c>
      <c r="AK353">
        <f t="shared" si="356"/>
        <v>0</v>
      </c>
      <c r="AL353">
        <f t="shared" si="357"/>
        <v>0</v>
      </c>
      <c r="AM353">
        <f t="shared" si="358"/>
        <v>0</v>
      </c>
      <c r="AO353">
        <f t="shared" si="359"/>
        <v>0</v>
      </c>
      <c r="AP353">
        <f t="shared" si="360"/>
        <v>0</v>
      </c>
      <c r="AQ353">
        <f t="shared" si="361"/>
        <v>0</v>
      </c>
      <c r="AR353">
        <f t="shared" si="362"/>
        <v>0</v>
      </c>
    </row>
    <row r="354" spans="1:45" x14ac:dyDescent="0.25">
      <c r="B354" s="82" t="s">
        <v>82</v>
      </c>
      <c r="C354" s="8"/>
      <c r="D354" s="8"/>
      <c r="E354" t="s">
        <v>42</v>
      </c>
      <c r="F354">
        <f t="shared" si="321"/>
        <v>3</v>
      </c>
      <c r="G354">
        <f t="shared" si="322"/>
        <v>0</v>
      </c>
      <c r="H354" t="s">
        <v>1009</v>
      </c>
      <c r="I354" s="121">
        <v>3</v>
      </c>
      <c r="N354" s="4" t="s">
        <v>36</v>
      </c>
      <c r="P354" s="86">
        <v>0</v>
      </c>
      <c r="Q354" s="1">
        <f>ROUND((P354*0.4),0)</f>
        <v>0</v>
      </c>
      <c r="R354">
        <f t="shared" si="306"/>
        <v>0</v>
      </c>
      <c r="S354" s="6"/>
      <c r="T354" s="61"/>
      <c r="U354" s="61">
        <f t="shared" si="349"/>
        <v>0</v>
      </c>
      <c r="V354" s="7" t="str">
        <f t="shared" si="350"/>
        <v>NONE</v>
      </c>
      <c r="W354" s="56"/>
      <c r="X354" s="5"/>
      <c r="Y354" s="61">
        <f t="shared" si="323"/>
        <v>0</v>
      </c>
      <c r="Z354" s="61"/>
      <c r="AA354" s="1">
        <f t="shared" si="363"/>
        <v>0</v>
      </c>
      <c r="AB354" s="1">
        <f t="shared" si="351"/>
        <v>130</v>
      </c>
      <c r="AC354" s="1"/>
      <c r="AD354" s="65">
        <f t="shared" si="352"/>
        <v>-130</v>
      </c>
      <c r="AE354" s="1"/>
      <c r="AF354" s="1">
        <f t="shared" si="353"/>
        <v>0</v>
      </c>
      <c r="AG354" s="1">
        <f>IF(AH354&gt;0,AH211:AH354,0)</f>
        <v>0</v>
      </c>
      <c r="AH354" s="1">
        <f t="shared" si="354"/>
        <v>-130</v>
      </c>
      <c r="AJ354">
        <f t="shared" si="355"/>
        <v>0</v>
      </c>
      <c r="AK354">
        <f t="shared" si="356"/>
        <v>0</v>
      </c>
      <c r="AL354">
        <f t="shared" si="357"/>
        <v>0</v>
      </c>
      <c r="AM354">
        <f t="shared" si="358"/>
        <v>0</v>
      </c>
      <c r="AO354">
        <f t="shared" si="359"/>
        <v>0</v>
      </c>
      <c r="AP354">
        <f t="shared" si="360"/>
        <v>0</v>
      </c>
      <c r="AQ354">
        <f t="shared" si="361"/>
        <v>0</v>
      </c>
      <c r="AR354">
        <f t="shared" si="362"/>
        <v>0</v>
      </c>
    </row>
    <row r="355" spans="1:45" x14ac:dyDescent="0.25">
      <c r="F355">
        <f t="shared" si="321"/>
        <v>0</v>
      </c>
      <c r="G355">
        <f t="shared" si="322"/>
        <v>1</v>
      </c>
      <c r="I355" s="121"/>
      <c r="N355" s="4" t="s">
        <v>36</v>
      </c>
      <c r="P355" s="86">
        <v>0</v>
      </c>
      <c r="Q355" s="1">
        <f>ROUND((P355*0.4),0)</f>
        <v>0</v>
      </c>
      <c r="R355">
        <f t="shared" si="306"/>
        <v>0</v>
      </c>
      <c r="S355" s="6"/>
      <c r="T355" s="61"/>
      <c r="U355" s="61">
        <f t="shared" si="349"/>
        <v>0</v>
      </c>
      <c r="V355" s="7" t="str">
        <f t="shared" si="350"/>
        <v>NONE</v>
      </c>
      <c r="W355" s="56"/>
      <c r="X355" s="5"/>
      <c r="Y355" s="61">
        <f t="shared" si="323"/>
        <v>0</v>
      </c>
      <c r="Z355" s="61"/>
      <c r="AA355" s="1">
        <f t="shared" si="363"/>
        <v>0</v>
      </c>
      <c r="AB355" s="1">
        <f t="shared" si="351"/>
        <v>0</v>
      </c>
      <c r="AC355" s="1"/>
      <c r="AD355" s="65">
        <f t="shared" si="352"/>
        <v>0</v>
      </c>
      <c r="AE355" s="1"/>
      <c r="AF355" s="1">
        <f t="shared" si="353"/>
        <v>0</v>
      </c>
      <c r="AG355" s="1">
        <f>IF(AH355&gt;0,AH212:AH355,0)</f>
        <v>0</v>
      </c>
      <c r="AH355" s="1">
        <f t="shared" si="354"/>
        <v>0</v>
      </c>
      <c r="AJ355">
        <f t="shared" si="355"/>
        <v>0</v>
      </c>
      <c r="AK355">
        <f t="shared" si="356"/>
        <v>0</v>
      </c>
      <c r="AL355">
        <f t="shared" si="357"/>
        <v>0</v>
      </c>
      <c r="AM355">
        <f t="shared" si="358"/>
        <v>0</v>
      </c>
      <c r="AO355">
        <f t="shared" si="359"/>
        <v>0</v>
      </c>
      <c r="AP355">
        <f t="shared" si="360"/>
        <v>0</v>
      </c>
      <c r="AQ355">
        <f t="shared" si="361"/>
        <v>0</v>
      </c>
      <c r="AR355">
        <f t="shared" si="362"/>
        <v>0</v>
      </c>
    </row>
    <row r="356" spans="1:45" x14ac:dyDescent="0.25">
      <c r="B356" s="229"/>
      <c r="F356">
        <f t="shared" si="321"/>
        <v>0</v>
      </c>
      <c r="G356">
        <f t="shared" si="322"/>
        <v>1</v>
      </c>
      <c r="H356" s="121"/>
      <c r="I356" s="121"/>
      <c r="N356" s="4" t="s">
        <v>36</v>
      </c>
      <c r="P356" s="86">
        <v>0</v>
      </c>
      <c r="Q356" s="1">
        <f>ROUND((P356*0.4),0)</f>
        <v>0</v>
      </c>
      <c r="R356">
        <f t="shared" si="306"/>
        <v>0</v>
      </c>
      <c r="S356" s="6"/>
      <c r="T356" s="61"/>
      <c r="U356" s="61">
        <f t="shared" si="349"/>
        <v>0</v>
      </c>
      <c r="V356" s="7" t="str">
        <f t="shared" si="350"/>
        <v>NONE</v>
      </c>
      <c r="W356" s="56"/>
      <c r="X356" s="5"/>
      <c r="Y356" s="61">
        <f t="shared" si="323"/>
        <v>0</v>
      </c>
      <c r="Z356" s="61"/>
      <c r="AA356" s="1">
        <f t="shared" si="363"/>
        <v>0</v>
      </c>
      <c r="AB356" s="1">
        <f t="shared" si="351"/>
        <v>0</v>
      </c>
      <c r="AC356" s="1"/>
      <c r="AD356" s="65">
        <f t="shared" si="352"/>
        <v>0</v>
      </c>
      <c r="AE356" s="1"/>
      <c r="AF356" s="1">
        <f t="shared" si="353"/>
        <v>0</v>
      </c>
      <c r="AG356" s="1">
        <f>IF(AH356&gt;0,AH218:AH356,0)</f>
        <v>0</v>
      </c>
      <c r="AH356" s="1">
        <f t="shared" si="354"/>
        <v>0</v>
      </c>
      <c r="AJ356">
        <f t="shared" si="355"/>
        <v>0</v>
      </c>
      <c r="AK356">
        <f t="shared" si="356"/>
        <v>0</v>
      </c>
      <c r="AL356">
        <f t="shared" si="357"/>
        <v>0</v>
      </c>
      <c r="AM356">
        <f t="shared" si="358"/>
        <v>0</v>
      </c>
      <c r="AO356">
        <f t="shared" si="359"/>
        <v>0</v>
      </c>
      <c r="AP356">
        <f t="shared" si="360"/>
        <v>0</v>
      </c>
      <c r="AQ356">
        <f t="shared" si="361"/>
        <v>0</v>
      </c>
      <c r="AR356">
        <f t="shared" si="362"/>
        <v>0</v>
      </c>
    </row>
    <row r="357" spans="1:45" x14ac:dyDescent="0.25">
      <c r="B357" s="83" t="s">
        <v>82</v>
      </c>
      <c r="E357" t="s">
        <v>42</v>
      </c>
      <c r="F357">
        <f t="shared" si="321"/>
        <v>3</v>
      </c>
      <c r="G357">
        <f t="shared" si="322"/>
        <v>0</v>
      </c>
      <c r="H357" t="s">
        <v>1010</v>
      </c>
      <c r="I357" s="121">
        <v>3</v>
      </c>
      <c r="N357" s="4" t="s">
        <v>36</v>
      </c>
      <c r="P357" s="86">
        <v>0</v>
      </c>
      <c r="Q357" s="1">
        <f>ROUND((P357*0.4),0)</f>
        <v>0</v>
      </c>
      <c r="R357">
        <f t="shared" si="306"/>
        <v>0</v>
      </c>
      <c r="S357" s="6"/>
      <c r="T357" s="61"/>
      <c r="U357" s="61">
        <f t="shared" si="349"/>
        <v>0</v>
      </c>
      <c r="V357" s="7" t="str">
        <f t="shared" si="350"/>
        <v>NONE</v>
      </c>
      <c r="W357" s="56"/>
      <c r="X357" s="5"/>
      <c r="Y357" s="61">
        <f t="shared" si="323"/>
        <v>0</v>
      </c>
      <c r="Z357" s="61"/>
      <c r="AA357" s="1">
        <f t="shared" si="363"/>
        <v>0</v>
      </c>
      <c r="AB357" s="1">
        <f t="shared" si="351"/>
        <v>130</v>
      </c>
      <c r="AC357" s="1"/>
      <c r="AD357" s="65">
        <f t="shared" si="352"/>
        <v>-130</v>
      </c>
      <c r="AE357" s="1"/>
      <c r="AF357" s="1">
        <f t="shared" si="353"/>
        <v>0</v>
      </c>
      <c r="AG357" s="1">
        <f>IF(AH357&gt;0,AH219:AH357,0)</f>
        <v>0</v>
      </c>
      <c r="AH357" s="1">
        <f t="shared" si="354"/>
        <v>-130</v>
      </c>
      <c r="AJ357">
        <f t="shared" si="355"/>
        <v>0</v>
      </c>
      <c r="AK357">
        <f t="shared" si="356"/>
        <v>0</v>
      </c>
      <c r="AL357">
        <f t="shared" si="357"/>
        <v>0</v>
      </c>
      <c r="AM357">
        <f t="shared" si="358"/>
        <v>0</v>
      </c>
      <c r="AO357">
        <f t="shared" si="359"/>
        <v>0</v>
      </c>
      <c r="AP357">
        <f t="shared" si="360"/>
        <v>0</v>
      </c>
      <c r="AQ357">
        <f t="shared" si="361"/>
        <v>0</v>
      </c>
      <c r="AR357">
        <f t="shared" si="362"/>
        <v>0</v>
      </c>
    </row>
    <row r="358" spans="1:45" x14ac:dyDescent="0.25">
      <c r="B358" s="232" t="s">
        <v>1125</v>
      </c>
      <c r="C358" s="78" t="s">
        <v>1127</v>
      </c>
      <c r="D358" s="78"/>
      <c r="E358" t="s">
        <v>1129</v>
      </c>
      <c r="F358">
        <f t="shared" si="321"/>
        <v>0</v>
      </c>
      <c r="G358">
        <f t="shared" si="322"/>
        <v>1</v>
      </c>
      <c r="H358" t="s">
        <v>1126</v>
      </c>
      <c r="I358" s="121">
        <v>7</v>
      </c>
      <c r="K358" t="s">
        <v>777</v>
      </c>
      <c r="N358" s="4" t="s">
        <v>36</v>
      </c>
      <c r="P358" s="86">
        <v>1453.06</v>
      </c>
      <c r="Q358" s="1">
        <v>0</v>
      </c>
      <c r="R358">
        <f>IF(P358&gt;0,((P358+500)-Q358)+U358,0)-500</f>
        <v>1453.06</v>
      </c>
      <c r="S358" s="6" t="s">
        <v>1129</v>
      </c>
      <c r="T358" s="61"/>
      <c r="U358" s="61">
        <f t="shared" si="349"/>
        <v>0</v>
      </c>
      <c r="V358" s="7" t="str">
        <f t="shared" si="350"/>
        <v>NONE</v>
      </c>
      <c r="W358" s="56"/>
      <c r="X358" s="228" t="s">
        <v>1161</v>
      </c>
      <c r="Y358" s="165">
        <f t="shared" si="323"/>
        <v>1453.06</v>
      </c>
      <c r="Z358" s="61"/>
      <c r="AA358" s="1">
        <f t="shared" si="363"/>
        <v>0</v>
      </c>
      <c r="AB358" s="1">
        <f t="shared" si="351"/>
        <v>130</v>
      </c>
      <c r="AC358" s="1"/>
      <c r="AD358" s="65">
        <f t="shared" si="352"/>
        <v>1323.06</v>
      </c>
      <c r="AE358" s="1"/>
      <c r="AF358" s="1">
        <f t="shared" si="353"/>
        <v>30</v>
      </c>
      <c r="AG358" s="1">
        <f>IF(AH358&gt;0,AH218:AH358,0)</f>
        <v>1293.06</v>
      </c>
      <c r="AH358" s="1">
        <f t="shared" si="354"/>
        <v>1293.06</v>
      </c>
      <c r="AJ358">
        <f t="shared" si="355"/>
        <v>0</v>
      </c>
      <c r="AK358">
        <f t="shared" si="356"/>
        <v>0</v>
      </c>
      <c r="AL358">
        <f t="shared" si="357"/>
        <v>0</v>
      </c>
      <c r="AM358">
        <f t="shared" si="358"/>
        <v>0</v>
      </c>
      <c r="AO358">
        <f t="shared" si="359"/>
        <v>0</v>
      </c>
      <c r="AP358">
        <f t="shared" si="360"/>
        <v>0</v>
      </c>
      <c r="AQ358">
        <f t="shared" si="361"/>
        <v>0</v>
      </c>
      <c r="AR358">
        <f t="shared" si="362"/>
        <v>0</v>
      </c>
    </row>
    <row r="359" spans="1:45" ht="15.75" x14ac:dyDescent="0.25">
      <c r="B359" s="234" t="s">
        <v>1139</v>
      </c>
      <c r="C359" s="227" t="s">
        <v>1141</v>
      </c>
      <c r="D359" s="227"/>
      <c r="E359" t="s">
        <v>1138</v>
      </c>
      <c r="F359">
        <f>IF(E359=$B$12,I359,0)</f>
        <v>0</v>
      </c>
      <c r="G359">
        <f t="shared" si="322"/>
        <v>1</v>
      </c>
      <c r="H359" s="121" t="s">
        <v>1136</v>
      </c>
      <c r="I359" s="121">
        <v>5</v>
      </c>
      <c r="K359" t="s">
        <v>1137</v>
      </c>
      <c r="N359" s="4" t="s">
        <v>36</v>
      </c>
      <c r="P359" s="86">
        <v>1222</v>
      </c>
      <c r="Q359" s="1">
        <v>1722</v>
      </c>
      <c r="R359">
        <f>IF(P359&gt;0,((P359+500)-Q359)+U359,0)</f>
        <v>0</v>
      </c>
      <c r="S359" s="196" t="s">
        <v>1140</v>
      </c>
      <c r="T359" s="61"/>
      <c r="U359" s="61">
        <f>IF(V359=$AE$2,47,IF(V359=$AE$1,ROUND(((P359+500)*0.039),0),IF(V359=$AE$3,0)))</f>
        <v>0</v>
      </c>
      <c r="V359" s="7" t="str">
        <f>IF(W359=1,$AE$2,IF(W359=2,$AE$1,IF(AND(W359&lt;&gt;1,W359&lt;&gt;20)=TRUE,$AE$3)))</f>
        <v>NONE</v>
      </c>
      <c r="W359" s="56"/>
      <c r="X359" s="5" t="s">
        <v>1162</v>
      </c>
      <c r="Y359" s="61">
        <f>R359+Q359</f>
        <v>1722</v>
      </c>
      <c r="Z359" s="61"/>
      <c r="AA359" s="1">
        <f>IF(X359=$AA$1,R359-500,0)</f>
        <v>0</v>
      </c>
      <c r="AB359" s="1">
        <f>IF(I359&gt;0,130,0)</f>
        <v>130</v>
      </c>
      <c r="AC359" s="1"/>
      <c r="AD359" s="65">
        <f>(P359+U359)-AB359</f>
        <v>1092</v>
      </c>
      <c r="AE359" s="1"/>
      <c r="AF359" s="1">
        <f>IF(I359&gt;0,30*G359,0)</f>
        <v>30</v>
      </c>
      <c r="AG359" s="1">
        <f>IF(AH359&gt;0,AH221:AH359,0)</f>
        <v>1062</v>
      </c>
      <c r="AH359" s="1">
        <f>AD359-AF359</f>
        <v>1062</v>
      </c>
      <c r="AJ359">
        <f>IF(T359=1,P359-U359,0)</f>
        <v>0</v>
      </c>
      <c r="AK359">
        <f>IF(T359=2,P359-U359,0)</f>
        <v>0</v>
      </c>
      <c r="AL359">
        <f>IF(T359=3,P359-U359,0)</f>
        <v>0</v>
      </c>
      <c r="AM359">
        <f>IF(T359=4,P359-U359,0)</f>
        <v>0</v>
      </c>
      <c r="AO359">
        <f>IF(T359=1,P359-U359,0)</f>
        <v>0</v>
      </c>
      <c r="AP359">
        <f>IF(T359=2,P359-U359,0)</f>
        <v>0</v>
      </c>
      <c r="AQ359">
        <f>IF(T359=3,P359-U359,0)</f>
        <v>0</v>
      </c>
      <c r="AR359">
        <f>IF(T359=4,P359-U359,0)</f>
        <v>0</v>
      </c>
    </row>
    <row r="360" spans="1:45" x14ac:dyDescent="0.25">
      <c r="B360" s="83" t="s">
        <v>82</v>
      </c>
      <c r="C360" s="8"/>
      <c r="D360" s="8"/>
      <c r="E360" t="s">
        <v>42</v>
      </c>
      <c r="F360">
        <f t="shared" si="321"/>
        <v>4</v>
      </c>
      <c r="G360">
        <f t="shared" si="322"/>
        <v>0</v>
      </c>
      <c r="H360" s="121" t="s">
        <v>1011</v>
      </c>
      <c r="I360" s="121">
        <v>4</v>
      </c>
      <c r="N360" s="4" t="s">
        <v>36</v>
      </c>
      <c r="P360" s="86">
        <v>0</v>
      </c>
      <c r="Q360" s="1">
        <f>ROUND((P360*0.4),0)</f>
        <v>0</v>
      </c>
      <c r="R360">
        <f t="shared" si="306"/>
        <v>0</v>
      </c>
      <c r="S360" s="6"/>
      <c r="T360" s="61"/>
      <c r="U360" s="61">
        <f t="shared" si="349"/>
        <v>0</v>
      </c>
      <c r="V360" s="7" t="str">
        <f t="shared" si="350"/>
        <v>NONE</v>
      </c>
      <c r="W360" s="56"/>
      <c r="X360" s="5"/>
      <c r="Y360" s="61">
        <f t="shared" si="323"/>
        <v>0</v>
      </c>
      <c r="Z360" s="61"/>
      <c r="AA360" s="1">
        <f t="shared" si="363"/>
        <v>0</v>
      </c>
      <c r="AB360" s="1">
        <f t="shared" si="351"/>
        <v>130</v>
      </c>
      <c r="AC360" s="1"/>
      <c r="AD360" s="65">
        <f t="shared" si="352"/>
        <v>-130</v>
      </c>
      <c r="AE360" s="1"/>
      <c r="AF360" s="1">
        <f t="shared" si="353"/>
        <v>0</v>
      </c>
      <c r="AG360" s="1">
        <f>IF(AH360&gt;0,AH220:AH360,0)</f>
        <v>0</v>
      </c>
      <c r="AH360" s="1">
        <f t="shared" si="354"/>
        <v>-130</v>
      </c>
      <c r="AJ360">
        <f t="shared" si="355"/>
        <v>0</v>
      </c>
      <c r="AK360">
        <f t="shared" si="356"/>
        <v>0</v>
      </c>
      <c r="AL360">
        <f t="shared" si="357"/>
        <v>0</v>
      </c>
      <c r="AM360">
        <f t="shared" si="358"/>
        <v>0</v>
      </c>
      <c r="AO360">
        <f t="shared" si="359"/>
        <v>0</v>
      </c>
      <c r="AP360">
        <f t="shared" si="360"/>
        <v>0</v>
      </c>
      <c r="AQ360">
        <f t="shared" si="361"/>
        <v>0</v>
      </c>
      <c r="AR360">
        <f t="shared" si="362"/>
        <v>0</v>
      </c>
    </row>
    <row r="361" spans="1:45" ht="15.75" x14ac:dyDescent="0.25">
      <c r="B361" s="239" t="s">
        <v>1169</v>
      </c>
      <c r="C361" t="s">
        <v>1144</v>
      </c>
      <c r="E361" t="s">
        <v>370</v>
      </c>
      <c r="F361">
        <f>IF(E361=$B$12,I361,0)</f>
        <v>0</v>
      </c>
      <c r="G361">
        <f t="shared" si="322"/>
        <v>1</v>
      </c>
      <c r="H361" s="121" t="s">
        <v>1145</v>
      </c>
      <c r="I361" s="121">
        <v>5</v>
      </c>
      <c r="K361" t="s">
        <v>1146</v>
      </c>
      <c r="N361" s="4" t="s">
        <v>36</v>
      </c>
      <c r="P361" s="86">
        <f>2125.53-500</f>
        <v>1625.5300000000002</v>
      </c>
      <c r="Q361" s="1">
        <f>P361</f>
        <v>1625.5300000000002</v>
      </c>
      <c r="R361">
        <v>0</v>
      </c>
      <c r="S361" s="6" t="s">
        <v>370</v>
      </c>
      <c r="T361" s="61"/>
      <c r="U361" s="61">
        <f>IF(V361=$AE$2,47,IF(V361=$AE$1,ROUND(((P361+500)*0.039),0),IF(V361=$AE$3,0)))</f>
        <v>0</v>
      </c>
      <c r="V361" s="7" t="str">
        <f>IF(W361=1,$AE$2,IF(W361=2,$AE$1,IF(AND(W361&lt;&gt;1,W361&lt;&gt;20)=TRUE,$AE$3)))</f>
        <v>NONE</v>
      </c>
      <c r="W361" s="56"/>
      <c r="X361" s="5" t="s">
        <v>1142</v>
      </c>
      <c r="Y361" s="61">
        <f>R361+Q361</f>
        <v>1625.5300000000002</v>
      </c>
      <c r="Z361" s="61"/>
      <c r="AA361" s="1">
        <f>IF(X361=$AA$1,R361-500,0)</f>
        <v>0</v>
      </c>
      <c r="AB361" s="1">
        <f>IF(I361&gt;0,130,0)</f>
        <v>130</v>
      </c>
      <c r="AC361" s="1"/>
      <c r="AD361" s="65">
        <f>(P361+U361)-AB361</f>
        <v>1495.5300000000002</v>
      </c>
      <c r="AE361" s="1"/>
      <c r="AF361" s="1">
        <f>IF(I361&gt;0,30*G361,0)</f>
        <v>30</v>
      </c>
      <c r="AG361" s="1">
        <f>IF(AH361&gt;0,AH223:AH361,0)</f>
        <v>1465.5300000000002</v>
      </c>
      <c r="AH361" s="1">
        <f>AD361-AF361</f>
        <v>1465.5300000000002</v>
      </c>
      <c r="AJ361">
        <f>IF(T361=1,P361-U361,0)</f>
        <v>0</v>
      </c>
      <c r="AK361">
        <f>IF(T361=2,P361-U361,0)</f>
        <v>0</v>
      </c>
      <c r="AL361">
        <f>IF(T361=3,P361-U361,0)</f>
        <v>0</v>
      </c>
      <c r="AM361">
        <f>IF(T361=4,P361-U361,0)</f>
        <v>0</v>
      </c>
      <c r="AO361">
        <f>IF(T361=1,P361-U361,0)</f>
        <v>0</v>
      </c>
      <c r="AP361">
        <f>IF(T361=2,P361-U361,0)</f>
        <v>0</v>
      </c>
      <c r="AQ361">
        <f>IF(T361=3,P361-U361,0)</f>
        <v>0</v>
      </c>
      <c r="AR361">
        <f>IF(T361=4,P361-U361,0)</f>
        <v>0</v>
      </c>
    </row>
    <row r="362" spans="1:45" x14ac:dyDescent="0.25">
      <c r="B362" s="238" t="s">
        <v>1170</v>
      </c>
      <c r="C362" s="121" t="s">
        <v>1156</v>
      </c>
      <c r="D362" s="121"/>
      <c r="E362" t="s">
        <v>370</v>
      </c>
      <c r="F362">
        <f>IF(E362=$B$12,I362,0)</f>
        <v>0</v>
      </c>
      <c r="G362">
        <f t="shared" si="322"/>
        <v>1</v>
      </c>
      <c r="H362" s="121" t="s">
        <v>1154</v>
      </c>
      <c r="I362" s="121">
        <v>5</v>
      </c>
      <c r="K362" t="s">
        <v>1153</v>
      </c>
      <c r="N362" s="4" t="s">
        <v>36</v>
      </c>
      <c r="P362" s="86">
        <v>1117.48</v>
      </c>
      <c r="Q362" s="1">
        <v>1117.48</v>
      </c>
      <c r="R362">
        <v>0</v>
      </c>
      <c r="S362" s="6" t="s">
        <v>370</v>
      </c>
      <c r="T362" s="61"/>
      <c r="U362" s="61">
        <f>IF(V362=$AE$2,47,IF(V362=$AE$1,ROUND(((P362+500)*0.039),0),IF(V362=$AE$3,0)))</f>
        <v>0</v>
      </c>
      <c r="V362" s="7" t="str">
        <f>IF(W362=1,$AE$2,IF(W362=2,$AE$1,IF(AND(W362&lt;&gt;1,W362&lt;&gt;20)=TRUE,$AE$3)))</f>
        <v>NONE</v>
      </c>
      <c r="W362" s="56"/>
      <c r="X362" s="5" t="s">
        <v>1142</v>
      </c>
      <c r="Y362" s="61">
        <f>R362+Q362</f>
        <v>1117.48</v>
      </c>
      <c r="Z362" s="61"/>
      <c r="AA362" s="1">
        <f>IF(X362=$AA$1,R362-500,0)</f>
        <v>0</v>
      </c>
      <c r="AB362" s="1">
        <f>IF(I362&gt;0,130,0)</f>
        <v>130</v>
      </c>
      <c r="AC362" s="1"/>
      <c r="AD362" s="65">
        <f>(P362+U362)-AB362</f>
        <v>987.48</v>
      </c>
      <c r="AE362" s="1"/>
      <c r="AF362" s="1">
        <f>IF(I362&gt;0,30*G362,0)</f>
        <v>30</v>
      </c>
      <c r="AG362" s="1">
        <f>IF(AH362&gt;0,AH219:AH362,0)</f>
        <v>957.48</v>
      </c>
      <c r="AH362" s="1">
        <f>AD362-AF362</f>
        <v>957.48</v>
      </c>
      <c r="AJ362">
        <f>IF(T362=1,P362-U362,0)</f>
        <v>0</v>
      </c>
      <c r="AK362">
        <f>IF(T362=2,P362-U362,0)</f>
        <v>0</v>
      </c>
      <c r="AL362">
        <f>IF(T362=3,P362-U362,0)</f>
        <v>0</v>
      </c>
      <c r="AM362">
        <f>IF(T362=4,P362-U362,0)</f>
        <v>0</v>
      </c>
      <c r="AO362">
        <f>IF(T362=1,P362-U362,0)</f>
        <v>0</v>
      </c>
      <c r="AP362">
        <f>IF(T362=2,P362-U362,0)</f>
        <v>0</v>
      </c>
      <c r="AQ362">
        <f>IF(T362=3,P362-U362,0)</f>
        <v>0</v>
      </c>
      <c r="AR362">
        <f>IF(T362=4,P362-U362,0)</f>
        <v>0</v>
      </c>
    </row>
    <row r="363" spans="1:45" x14ac:dyDescent="0.25">
      <c r="B363" s="215" t="s">
        <v>1148</v>
      </c>
      <c r="C363" t="s">
        <v>1155</v>
      </c>
      <c r="E363" t="s">
        <v>1129</v>
      </c>
      <c r="F363">
        <f>IF(E363=$B$12,I363,0)</f>
        <v>0</v>
      </c>
      <c r="G363">
        <f t="shared" si="322"/>
        <v>1</v>
      </c>
      <c r="H363" s="121" t="s">
        <v>1147</v>
      </c>
      <c r="I363" s="121">
        <v>7</v>
      </c>
      <c r="K363" t="s">
        <v>777</v>
      </c>
      <c r="N363" s="4" t="s">
        <v>36</v>
      </c>
      <c r="P363" s="86">
        <v>1611.17</v>
      </c>
      <c r="Q363" s="1">
        <f>P363</f>
        <v>1611.17</v>
      </c>
      <c r="R363">
        <v>0</v>
      </c>
      <c r="S363" s="6" t="s">
        <v>1129</v>
      </c>
      <c r="T363" s="61"/>
      <c r="U363" s="61">
        <f>IF(V363=$AE$2,47,IF(V363=$AE$1,ROUND(((P363+500)*0.039),0),IF(V363=$AE$3,0)))</f>
        <v>0</v>
      </c>
      <c r="V363" s="7" t="str">
        <f>IF(W363=1,$AE$2,IF(W363=2,$AE$1,IF(AND(W363&lt;&gt;1,W363&lt;&gt;20)=TRUE,$AE$3)))</f>
        <v>NONE</v>
      </c>
      <c r="W363" s="56"/>
      <c r="X363" s="5" t="s">
        <v>1142</v>
      </c>
      <c r="Y363" s="61">
        <f>R363+Q363</f>
        <v>1611.17</v>
      </c>
      <c r="Z363" s="61"/>
      <c r="AA363" s="1">
        <f>IF(X363=$AA$1,R363-500,0)</f>
        <v>0</v>
      </c>
      <c r="AB363" s="1">
        <f>IF(I363&gt;0,130,0)</f>
        <v>130</v>
      </c>
      <c r="AC363" s="1"/>
      <c r="AD363" s="65">
        <f>(P363+U363)-AB363</f>
        <v>1481.17</v>
      </c>
      <c r="AE363" s="1"/>
      <c r="AF363" s="1">
        <f>IF(I363&gt;0,30*G363,0)</f>
        <v>30</v>
      </c>
      <c r="AG363" s="1">
        <f>IF(AH363&gt;0,AH224:AH363,0)</f>
        <v>1451.17</v>
      </c>
      <c r="AH363" s="1">
        <f>AD363-AF363</f>
        <v>1451.17</v>
      </c>
      <c r="AJ363">
        <f>IF(T363=1,P363-U363,0)</f>
        <v>0</v>
      </c>
      <c r="AK363">
        <f>IF(T363=2,P363-U363,0)</f>
        <v>0</v>
      </c>
      <c r="AL363">
        <f>IF(T363=3,P363-U363,0)</f>
        <v>0</v>
      </c>
      <c r="AM363">
        <f>IF(T363=4,P363-U363,0)</f>
        <v>0</v>
      </c>
      <c r="AO363">
        <f>IF(T363=1,P363-U363,0)</f>
        <v>0</v>
      </c>
      <c r="AP363">
        <f>IF(T363=2,P363-U363,0)</f>
        <v>0</v>
      </c>
      <c r="AQ363">
        <f>IF(T363=3,P363-U363,0)</f>
        <v>0</v>
      </c>
      <c r="AR363">
        <f>IF(T363=4,P363-U363,0)</f>
        <v>0</v>
      </c>
    </row>
    <row r="364" spans="1:45" x14ac:dyDescent="0.25">
      <c r="B364" s="85" t="s">
        <v>1122</v>
      </c>
      <c r="C364" s="78" t="s">
        <v>1123</v>
      </c>
      <c r="D364" s="78"/>
      <c r="E364" t="s">
        <v>370</v>
      </c>
      <c r="F364">
        <f t="shared" si="321"/>
        <v>0</v>
      </c>
      <c r="G364">
        <f t="shared" si="322"/>
        <v>1</v>
      </c>
      <c r="H364" t="s">
        <v>1143</v>
      </c>
      <c r="I364" s="121">
        <v>6</v>
      </c>
      <c r="K364" t="s">
        <v>1124</v>
      </c>
      <c r="N364" s="4" t="s">
        <v>36</v>
      </c>
      <c r="P364" s="86">
        <v>1277.4000000000001</v>
      </c>
      <c r="Q364" s="1">
        <f>P364*0.5</f>
        <v>638.70000000000005</v>
      </c>
      <c r="R364">
        <f>IF(P364&gt;0,((P364+500)-Q364)+U364,0)-500</f>
        <v>638.70000000000005</v>
      </c>
      <c r="S364" s="6" t="s">
        <v>370</v>
      </c>
      <c r="T364" s="61"/>
      <c r="U364" s="61">
        <f t="shared" si="349"/>
        <v>0</v>
      </c>
      <c r="V364" s="7" t="str">
        <f t="shared" si="350"/>
        <v>NONE</v>
      </c>
      <c r="W364" s="56"/>
      <c r="X364" s="5" t="s">
        <v>1142</v>
      </c>
      <c r="Y364" s="61">
        <f t="shared" si="323"/>
        <v>1277.4000000000001</v>
      </c>
      <c r="Z364" s="61"/>
      <c r="AA364" s="1">
        <f t="shared" si="363"/>
        <v>0</v>
      </c>
      <c r="AB364" s="1">
        <f t="shared" si="351"/>
        <v>130</v>
      </c>
      <c r="AC364" s="1"/>
      <c r="AD364" s="65">
        <f t="shared" si="352"/>
        <v>1147.4000000000001</v>
      </c>
      <c r="AE364" s="1"/>
      <c r="AF364" s="1">
        <f t="shared" si="353"/>
        <v>30</v>
      </c>
      <c r="AG364" s="1">
        <f>IF(AH364&gt;0,AH220:AH364,0)</f>
        <v>1117.4000000000001</v>
      </c>
      <c r="AH364" s="1">
        <f t="shared" si="354"/>
        <v>1117.4000000000001</v>
      </c>
      <c r="AJ364">
        <f t="shared" si="355"/>
        <v>0</v>
      </c>
      <c r="AK364">
        <f t="shared" si="356"/>
        <v>0</v>
      </c>
      <c r="AL364">
        <f t="shared" si="357"/>
        <v>0</v>
      </c>
      <c r="AM364">
        <f t="shared" si="358"/>
        <v>0</v>
      </c>
      <c r="AO364">
        <f t="shared" si="359"/>
        <v>0</v>
      </c>
      <c r="AP364">
        <f t="shared" si="360"/>
        <v>0</v>
      </c>
      <c r="AQ364">
        <f t="shared" si="361"/>
        <v>0</v>
      </c>
      <c r="AR364">
        <f t="shared" si="362"/>
        <v>0</v>
      </c>
    </row>
    <row r="365" spans="1:45" x14ac:dyDescent="0.25">
      <c r="B365" s="83" t="s">
        <v>82</v>
      </c>
      <c r="E365" t="s">
        <v>42</v>
      </c>
      <c r="F365">
        <f t="shared" si="321"/>
        <v>7</v>
      </c>
      <c r="G365">
        <f t="shared" si="322"/>
        <v>0</v>
      </c>
      <c r="H365" t="s">
        <v>1012</v>
      </c>
      <c r="I365" s="121">
        <v>7</v>
      </c>
      <c r="N365" s="4"/>
      <c r="P365" s="86">
        <v>0</v>
      </c>
      <c r="Q365" s="1">
        <f>ROUND((P365*0.4),0)</f>
        <v>0</v>
      </c>
      <c r="R365">
        <f t="shared" si="306"/>
        <v>0</v>
      </c>
      <c r="S365" s="6"/>
      <c r="T365" s="61"/>
      <c r="U365" s="61">
        <f t="shared" si="349"/>
        <v>0</v>
      </c>
      <c r="V365" s="7" t="str">
        <f t="shared" si="350"/>
        <v>NONE</v>
      </c>
      <c r="W365" s="56"/>
      <c r="X365" s="5"/>
      <c r="Y365" s="61">
        <f t="shared" si="323"/>
        <v>0</v>
      </c>
      <c r="Z365" s="61"/>
      <c r="AA365" s="1">
        <f t="shared" si="363"/>
        <v>0</v>
      </c>
      <c r="AB365" s="1">
        <f t="shared" si="351"/>
        <v>130</v>
      </c>
      <c r="AC365" s="1"/>
      <c r="AD365" s="65">
        <f t="shared" si="352"/>
        <v>-130</v>
      </c>
      <c r="AE365" s="1"/>
      <c r="AF365" s="1">
        <f t="shared" si="353"/>
        <v>0</v>
      </c>
      <c r="AG365" s="1">
        <f>IF(AH365&gt;0,AH219:AH365,0)</f>
        <v>0</v>
      </c>
      <c r="AH365" s="1">
        <f t="shared" si="354"/>
        <v>-130</v>
      </c>
      <c r="AJ365">
        <f t="shared" si="355"/>
        <v>0</v>
      </c>
      <c r="AK365">
        <f t="shared" si="356"/>
        <v>0</v>
      </c>
      <c r="AL365">
        <f t="shared" si="357"/>
        <v>0</v>
      </c>
      <c r="AM365">
        <f t="shared" si="358"/>
        <v>0</v>
      </c>
      <c r="AO365">
        <f t="shared" si="359"/>
        <v>0</v>
      </c>
      <c r="AP365">
        <f t="shared" si="360"/>
        <v>0</v>
      </c>
      <c r="AQ365">
        <f t="shared" si="361"/>
        <v>0</v>
      </c>
      <c r="AR365">
        <f t="shared" si="362"/>
        <v>0</v>
      </c>
    </row>
    <row r="366" spans="1:45" x14ac:dyDescent="0.25">
      <c r="A366" s="40"/>
      <c r="B366" s="155">
        <f>COUNTIFS(E$275:E365,"&lt;&gt;NA")-COUNTIFS(E$275:E365,"="&amp;E40)</f>
        <v>69</v>
      </c>
      <c r="C366" s="140" t="s">
        <v>472</v>
      </c>
      <c r="D366" s="140"/>
      <c r="E366" s="40">
        <f>SUM(F319:F365)</f>
        <v>72</v>
      </c>
      <c r="F366" s="40"/>
      <c r="G366" s="40"/>
      <c r="H366" s="54" t="s">
        <v>215</v>
      </c>
      <c r="I366" s="53">
        <f>SUM(I319:I365)-SUM(F319:F365)</f>
        <v>146</v>
      </c>
      <c r="J366" s="53"/>
      <c r="K366" s="52">
        <f>ROUND(I366/7,0)</f>
        <v>21</v>
      </c>
      <c r="L366" s="52" t="s">
        <v>214</v>
      </c>
      <c r="M366" s="54" t="s">
        <v>216</v>
      </c>
      <c r="N366" s="123">
        <f>ROUND(AG366/K366,0)</f>
        <v>2303</v>
      </c>
      <c r="O366" s="40"/>
      <c r="P366" s="71">
        <f>SUM(P319:P365)</f>
        <v>52037.67</v>
      </c>
      <c r="Q366" s="43"/>
      <c r="R366" s="69">
        <f>AA366</f>
        <v>0</v>
      </c>
      <c r="S366" s="68" t="s">
        <v>254</v>
      </c>
      <c r="T366" s="101"/>
      <c r="U366" s="62"/>
      <c r="V366" s="42"/>
      <c r="W366" s="42"/>
      <c r="X366" s="41"/>
      <c r="Y366" s="43"/>
      <c r="Z366" s="43">
        <f>AA366</f>
        <v>0</v>
      </c>
      <c r="AA366" s="43">
        <f>SUM(AA319:AA365)</f>
        <v>0</v>
      </c>
      <c r="AB366" s="43">
        <f>SUM(AB319:AB365)</f>
        <v>4420</v>
      </c>
      <c r="AC366" s="43">
        <f>AB366</f>
        <v>4420</v>
      </c>
      <c r="AD366" s="40"/>
      <c r="AE366" s="43"/>
      <c r="AF366" s="43">
        <f>SUM(AF319:AF365)</f>
        <v>690</v>
      </c>
      <c r="AG366" s="43">
        <f>SUM(AG319:AG365)</f>
        <v>48357.67</v>
      </c>
      <c r="AH366" s="71">
        <f>SUM(AH319:AH365)</f>
        <v>46927.67</v>
      </c>
      <c r="AI366" s="40">
        <f>AH366</f>
        <v>46927.67</v>
      </c>
      <c r="AJ366" s="104">
        <f>SUM(AJ319:AJ365)</f>
        <v>3065.08</v>
      </c>
      <c r="AK366" s="104">
        <f>SUM(AK319:AK365)</f>
        <v>0</v>
      </c>
      <c r="AL366" s="104">
        <f>SUM(AL319:AL365)</f>
        <v>0</v>
      </c>
      <c r="AM366" s="104">
        <f>SUM(AM319:AM365)</f>
        <v>0</v>
      </c>
      <c r="AN366" s="106">
        <f>SUM(AJ366:AM366)</f>
        <v>3065.08</v>
      </c>
      <c r="AO366" s="104">
        <f>SUM(AO319:AO365)</f>
        <v>3065.08</v>
      </c>
      <c r="AP366" s="104">
        <f>SUM(AP319:AP365)</f>
        <v>0</v>
      </c>
      <c r="AQ366" s="104">
        <f>SUM(AQ319:AQ365)</f>
        <v>0</v>
      </c>
      <c r="AR366" s="104">
        <f>SUM(AR319:AR365)</f>
        <v>0</v>
      </c>
      <c r="AS366" s="106">
        <f>SUM(AO366:AR366)</f>
        <v>3065.08</v>
      </c>
    </row>
    <row r="367" spans="1:45" ht="21" customHeight="1" x14ac:dyDescent="0.35">
      <c r="A367" s="105"/>
      <c r="B367" s="122">
        <v>2019</v>
      </c>
      <c r="C367" s="107"/>
      <c r="D367" s="107"/>
      <c r="E367" s="105"/>
      <c r="F367" s="105"/>
      <c r="G367" s="105"/>
      <c r="H367" s="108"/>
      <c r="I367" s="109"/>
      <c r="J367" s="109"/>
      <c r="K367" s="110"/>
      <c r="L367" s="110"/>
      <c r="M367" s="108"/>
      <c r="N367" s="111"/>
      <c r="O367" s="105"/>
      <c r="P367" s="112"/>
      <c r="Q367" s="113"/>
      <c r="R367" s="114"/>
      <c r="S367" s="115"/>
      <c r="T367" s="116"/>
      <c r="U367" s="117"/>
      <c r="V367" s="118"/>
      <c r="W367" s="118"/>
      <c r="X367" s="119"/>
      <c r="Y367" s="113"/>
      <c r="Z367" s="113"/>
      <c r="AA367" s="113"/>
      <c r="AB367" s="113"/>
      <c r="AC367" s="113"/>
      <c r="AD367" s="105"/>
      <c r="AE367" s="113"/>
      <c r="AF367" s="113"/>
      <c r="AG367" s="113"/>
      <c r="AH367" s="112"/>
      <c r="AI367" s="105"/>
      <c r="AJ367" s="96">
        <f>ROUNDUP(AJ366*0.05,0)</f>
        <v>154</v>
      </c>
      <c r="AK367" s="96">
        <f>ROUNDUP(AK366*0.05,0)</f>
        <v>0</v>
      </c>
      <c r="AL367" s="96">
        <f>ROUNDUP(AL366*0.05,0)</f>
        <v>0</v>
      </c>
      <c r="AM367" s="96">
        <f>ROUNDUP(AM366*0.05,0)</f>
        <v>0</v>
      </c>
      <c r="AN367" s="106">
        <f>SUM(AJ367:AM367)</f>
        <v>154</v>
      </c>
      <c r="AO367" s="96">
        <f>ROUNDUP(AO366*0.06,0)</f>
        <v>184</v>
      </c>
      <c r="AP367" s="96">
        <f>ROUNDUP(AP366*0.06,0)</f>
        <v>0</v>
      </c>
      <c r="AQ367" s="96">
        <f>ROUNDUP(AQ366*0.06,0)</f>
        <v>0</v>
      </c>
      <c r="AR367" s="96">
        <f>ROUNDUP(AR366*0.06,0)</f>
        <v>0</v>
      </c>
      <c r="AS367" s="106">
        <f>SUM(AO367:AR367)</f>
        <v>184</v>
      </c>
    </row>
    <row r="368" spans="1:45" ht="18.75" x14ac:dyDescent="0.35">
      <c r="B368" s="233" t="s">
        <v>1158</v>
      </c>
      <c r="C368" t="s">
        <v>1160</v>
      </c>
      <c r="E368" t="s">
        <v>1129</v>
      </c>
      <c r="F368">
        <f>IF(E368=$B$12,I368,0)</f>
        <v>0</v>
      </c>
      <c r="G368">
        <f t="shared" ref="G368:G409" si="364">IF(F368&gt;0,0,1)</f>
        <v>1</v>
      </c>
      <c r="H368" t="s">
        <v>1159</v>
      </c>
      <c r="I368" s="121">
        <v>5</v>
      </c>
      <c r="K368" t="s">
        <v>864</v>
      </c>
      <c r="N368" s="4" t="s">
        <v>36</v>
      </c>
      <c r="P368" s="86">
        <v>2030.21</v>
      </c>
      <c r="Q368" s="165">
        <v>0</v>
      </c>
      <c r="R368">
        <v>0</v>
      </c>
      <c r="S368" s="6" t="s">
        <v>1129</v>
      </c>
      <c r="T368" s="61"/>
      <c r="U368" s="61">
        <f t="shared" ref="U368:U379" si="365">IF(V368=$AE$2,47,IF(V368=$AE$1,ROUND(((P368+500)*0.039),0),IF(V368=$AE$3,0)))</f>
        <v>0</v>
      </c>
      <c r="V368" s="7" t="str">
        <f t="shared" ref="V368:V374" si="366">IF(W368=1,$AE$2,IF(W368=2,$AE$1,IF(AND(W368&lt;&gt;1,W368&lt;&gt;20)=TRUE,$AE$3)))</f>
        <v>NONE</v>
      </c>
      <c r="W368" s="56"/>
      <c r="X368" s="5"/>
      <c r="Y368" s="61">
        <f t="shared" ref="Y368:Y373" si="367">R368+Q368</f>
        <v>0</v>
      </c>
      <c r="Z368" s="61"/>
      <c r="AA368" s="1">
        <f>IF(X368=$AA$1,R368-500,0)</f>
        <v>0</v>
      </c>
      <c r="AB368" s="1">
        <f t="shared" ref="AB368:AB374" si="368">IF(I368&gt;0,130,0)</f>
        <v>130</v>
      </c>
      <c r="AC368" s="1"/>
      <c r="AD368" s="65">
        <f t="shared" ref="AD368:AD374" si="369">(P368+U368)-AB368</f>
        <v>1900.21</v>
      </c>
      <c r="AE368" s="1"/>
      <c r="AF368" s="1">
        <f t="shared" ref="AF368:AF374" si="370">IF(I368&gt;0,30*G368,0)</f>
        <v>30</v>
      </c>
      <c r="AG368" s="1">
        <f>IF(AH368&gt;0,AH247:AH368,0)</f>
        <v>1870.21</v>
      </c>
      <c r="AH368" s="1">
        <f t="shared" ref="AH368:AH373" si="371">AD368-AF368</f>
        <v>1870.21</v>
      </c>
      <c r="AJ368">
        <f t="shared" ref="AJ368:AJ373" si="372">IF(T368=1,P368-U368,0)</f>
        <v>0</v>
      </c>
      <c r="AK368">
        <f t="shared" ref="AK368:AK373" si="373">IF(T368=2,P368-U368,0)</f>
        <v>0</v>
      </c>
      <c r="AL368">
        <f t="shared" ref="AL368:AL373" si="374">IF(T368=3,P368-U368,0)</f>
        <v>0</v>
      </c>
      <c r="AM368">
        <f t="shared" ref="AM368:AM373" si="375">IF(T368=4,P368-U368,0)</f>
        <v>0</v>
      </c>
      <c r="AO368">
        <f t="shared" ref="AO368:AO373" si="376">IF(T368=1,P368-U368,0)</f>
        <v>0</v>
      </c>
      <c r="AP368">
        <f t="shared" ref="AP368:AP373" si="377">IF(T368=2,P368-U368,0)</f>
        <v>0</v>
      </c>
      <c r="AQ368">
        <f t="shared" ref="AQ368:AQ373" si="378">IF(T368=3,P368-U368,0)</f>
        <v>0</v>
      </c>
      <c r="AR368">
        <f t="shared" ref="AR368:AR373" si="379">IF(T368=4,P368-U368,0)</f>
        <v>0</v>
      </c>
    </row>
    <row r="369" spans="2:44" x14ac:dyDescent="0.25">
      <c r="B369" s="230" t="s">
        <v>1128</v>
      </c>
      <c r="C369" s="78" t="s">
        <v>1131</v>
      </c>
      <c r="D369" s="78"/>
      <c r="E369" t="s">
        <v>370</v>
      </c>
      <c r="F369">
        <f t="shared" ref="F369:F409" si="380">IF(E369=$B$12,I369,0)</f>
        <v>0</v>
      </c>
      <c r="G369">
        <f t="shared" si="364"/>
        <v>1</v>
      </c>
      <c r="H369" t="s">
        <v>1130</v>
      </c>
      <c r="I369" s="121">
        <v>7</v>
      </c>
      <c r="K369" t="s">
        <v>777</v>
      </c>
      <c r="N369" s="4" t="s">
        <v>36</v>
      </c>
      <c r="P369" s="86">
        <f>3064-500</f>
        <v>2564</v>
      </c>
      <c r="Q369" s="165">
        <f>P369*0.5</f>
        <v>1282</v>
      </c>
      <c r="R369" s="176">
        <f>IF(P369&gt;0,((P369+500)-Q369)+U369,0)-500</f>
        <v>1282</v>
      </c>
      <c r="S369" s="196" t="s">
        <v>1152</v>
      </c>
      <c r="T369" s="61"/>
      <c r="U369" s="61">
        <f t="shared" si="365"/>
        <v>0</v>
      </c>
      <c r="V369" s="7" t="str">
        <f t="shared" si="366"/>
        <v>NONE</v>
      </c>
      <c r="W369" s="56"/>
      <c r="X369" s="5" t="s">
        <v>656</v>
      </c>
      <c r="Y369" s="61">
        <f t="shared" si="367"/>
        <v>2564</v>
      </c>
      <c r="Z369" s="61"/>
      <c r="AA369" s="1">
        <f t="shared" ref="AA369:AA374" si="381">IF(X369=$AA$1,R369-500,0)</f>
        <v>0</v>
      </c>
      <c r="AB369" s="1">
        <f t="shared" si="368"/>
        <v>130</v>
      </c>
      <c r="AC369" s="1"/>
      <c r="AD369" s="65">
        <f t="shared" si="369"/>
        <v>2434</v>
      </c>
      <c r="AE369" s="1"/>
      <c r="AF369" s="1">
        <f t="shared" si="370"/>
        <v>30</v>
      </c>
      <c r="AG369" s="1">
        <f>IF(AH369&gt;0,AH231:AH369,0)</f>
        <v>2404</v>
      </c>
      <c r="AH369" s="1">
        <f t="shared" si="371"/>
        <v>2404</v>
      </c>
      <c r="AJ369">
        <f t="shared" si="372"/>
        <v>0</v>
      </c>
      <c r="AK369">
        <f t="shared" si="373"/>
        <v>0</v>
      </c>
      <c r="AL369">
        <f t="shared" si="374"/>
        <v>0</v>
      </c>
      <c r="AM369">
        <f t="shared" si="375"/>
        <v>0</v>
      </c>
      <c r="AO369">
        <f t="shared" si="376"/>
        <v>0</v>
      </c>
      <c r="AP369">
        <f t="shared" si="377"/>
        <v>0</v>
      </c>
      <c r="AQ369">
        <f t="shared" si="378"/>
        <v>0</v>
      </c>
      <c r="AR369">
        <f t="shared" si="379"/>
        <v>0</v>
      </c>
    </row>
    <row r="370" spans="2:44" x14ac:dyDescent="0.25">
      <c r="B370" s="8"/>
      <c r="C370" s="8"/>
      <c r="D370" s="8"/>
      <c r="F370">
        <f t="shared" si="380"/>
        <v>0</v>
      </c>
      <c r="G370">
        <f t="shared" si="364"/>
        <v>1</v>
      </c>
      <c r="I370" s="121"/>
      <c r="N370" s="4" t="s">
        <v>36</v>
      </c>
      <c r="P370" s="86">
        <v>0</v>
      </c>
      <c r="Q370" s="165">
        <f>P370*0.5</f>
        <v>0</v>
      </c>
      <c r="R370">
        <f>IF(P370&gt;0,((P370+500)-Q370)+U370,0)</f>
        <v>0</v>
      </c>
      <c r="S370" s="6"/>
      <c r="T370" s="61"/>
      <c r="U370" s="61">
        <f t="shared" si="365"/>
        <v>0</v>
      </c>
      <c r="V370" s="7" t="str">
        <f t="shared" si="366"/>
        <v>NONE</v>
      </c>
      <c r="W370" s="56"/>
      <c r="X370" s="5"/>
      <c r="Y370" s="61">
        <f t="shared" si="367"/>
        <v>0</v>
      </c>
      <c r="Z370" s="61"/>
      <c r="AA370" s="1">
        <f t="shared" si="381"/>
        <v>0</v>
      </c>
      <c r="AB370" s="1">
        <f t="shared" si="368"/>
        <v>0</v>
      </c>
      <c r="AC370" s="1"/>
      <c r="AD370" s="65">
        <f t="shared" si="369"/>
        <v>0</v>
      </c>
      <c r="AE370" s="1"/>
      <c r="AF370" s="1">
        <f t="shared" si="370"/>
        <v>0</v>
      </c>
      <c r="AG370" s="1">
        <f>IF(AH370&gt;0,AH233:AH370,0)</f>
        <v>0</v>
      </c>
      <c r="AH370" s="1">
        <f t="shared" si="371"/>
        <v>0</v>
      </c>
      <c r="AJ370">
        <f t="shared" si="372"/>
        <v>0</v>
      </c>
      <c r="AK370">
        <f t="shared" si="373"/>
        <v>0</v>
      </c>
      <c r="AL370">
        <f t="shared" si="374"/>
        <v>0</v>
      </c>
      <c r="AM370">
        <f t="shared" si="375"/>
        <v>0</v>
      </c>
      <c r="AO370">
        <f t="shared" si="376"/>
        <v>0</v>
      </c>
      <c r="AP370">
        <f t="shared" si="377"/>
        <v>0</v>
      </c>
      <c r="AQ370">
        <f t="shared" si="378"/>
        <v>0</v>
      </c>
      <c r="AR370">
        <f t="shared" si="379"/>
        <v>0</v>
      </c>
    </row>
    <row r="371" spans="2:44" x14ac:dyDescent="0.25">
      <c r="B371" s="8"/>
      <c r="C371" s="8"/>
      <c r="D371" s="8"/>
      <c r="F371">
        <f t="shared" si="380"/>
        <v>0</v>
      </c>
      <c r="G371">
        <f t="shared" si="364"/>
        <v>1</v>
      </c>
      <c r="H371" s="121"/>
      <c r="I371" s="121"/>
      <c r="N371" s="4" t="s">
        <v>36</v>
      </c>
      <c r="P371" s="86">
        <v>0</v>
      </c>
      <c r="Q371" s="165">
        <f>P371*0.5</f>
        <v>0</v>
      </c>
      <c r="R371">
        <f>IF(P371&gt;0,((P371+500)-Q371)+U371,0)</f>
        <v>0</v>
      </c>
      <c r="S371" s="6"/>
      <c r="T371" s="61"/>
      <c r="U371" s="61">
        <f t="shared" si="365"/>
        <v>0</v>
      </c>
      <c r="V371" s="7" t="str">
        <f t="shared" si="366"/>
        <v>NONE</v>
      </c>
      <c r="W371" s="56"/>
      <c r="X371" s="5"/>
      <c r="Y371" s="61">
        <f t="shared" si="367"/>
        <v>0</v>
      </c>
      <c r="Z371" s="61"/>
      <c r="AA371" s="1">
        <f t="shared" si="381"/>
        <v>0</v>
      </c>
      <c r="AB371" s="1">
        <f t="shared" si="368"/>
        <v>0</v>
      </c>
      <c r="AC371" s="1"/>
      <c r="AD371" s="65">
        <f t="shared" si="369"/>
        <v>0</v>
      </c>
      <c r="AE371" s="1"/>
      <c r="AF371" s="1">
        <f t="shared" si="370"/>
        <v>0</v>
      </c>
      <c r="AG371" s="1">
        <f>IF(AH371&gt;0,AH232:AH382,0)</f>
        <v>0</v>
      </c>
      <c r="AH371" s="1">
        <f t="shared" si="371"/>
        <v>0</v>
      </c>
      <c r="AJ371">
        <f t="shared" si="372"/>
        <v>0</v>
      </c>
      <c r="AK371">
        <f t="shared" si="373"/>
        <v>0</v>
      </c>
      <c r="AL371">
        <f t="shared" si="374"/>
        <v>0</v>
      </c>
      <c r="AM371">
        <f t="shared" si="375"/>
        <v>0</v>
      </c>
      <c r="AO371">
        <f t="shared" si="376"/>
        <v>0</v>
      </c>
      <c r="AP371">
        <f t="shared" si="377"/>
        <v>0</v>
      </c>
      <c r="AQ371">
        <f t="shared" si="378"/>
        <v>0</v>
      </c>
      <c r="AR371">
        <f t="shared" si="379"/>
        <v>0</v>
      </c>
    </row>
    <row r="372" spans="2:44" x14ac:dyDescent="0.25">
      <c r="B372" s="121" t="s">
        <v>1084</v>
      </c>
      <c r="C372" s="78" t="s">
        <v>866</v>
      </c>
      <c r="D372" s="78"/>
      <c r="E372" s="161" t="s">
        <v>899</v>
      </c>
      <c r="F372">
        <f t="shared" si="380"/>
        <v>0</v>
      </c>
      <c r="G372">
        <f t="shared" si="364"/>
        <v>1</v>
      </c>
      <c r="H372" t="s">
        <v>1098</v>
      </c>
      <c r="I372" s="121">
        <v>18</v>
      </c>
      <c r="K372" t="s">
        <v>777</v>
      </c>
      <c r="N372" s="4" t="s">
        <v>36</v>
      </c>
      <c r="P372" s="86">
        <v>5300</v>
      </c>
      <c r="Q372" s="165">
        <v>500</v>
      </c>
      <c r="R372">
        <f>IF(P372&gt;0,((P372+500)-Q372)+U372,0)</f>
        <v>5300</v>
      </c>
      <c r="S372" s="236">
        <v>43430</v>
      </c>
      <c r="T372" s="61"/>
      <c r="U372" s="61">
        <f t="shared" si="365"/>
        <v>0</v>
      </c>
      <c r="V372" s="7" t="str">
        <f t="shared" si="366"/>
        <v>NONE</v>
      </c>
      <c r="W372" s="56"/>
      <c r="X372" s="5" t="s">
        <v>1163</v>
      </c>
      <c r="Y372" s="192">
        <f t="shared" si="367"/>
        <v>5800</v>
      </c>
      <c r="Z372" s="61"/>
      <c r="AA372" s="1">
        <f t="shared" si="381"/>
        <v>0</v>
      </c>
      <c r="AB372" s="1">
        <f t="shared" si="368"/>
        <v>130</v>
      </c>
      <c r="AC372" s="1"/>
      <c r="AD372" s="65">
        <f t="shared" si="369"/>
        <v>5170</v>
      </c>
      <c r="AE372" s="1"/>
      <c r="AF372" s="1">
        <f t="shared" si="370"/>
        <v>30</v>
      </c>
      <c r="AG372" s="1">
        <f>IF(AH372&gt;0,AH233:AH372,0)</f>
        <v>5140</v>
      </c>
      <c r="AH372" s="1">
        <f t="shared" si="371"/>
        <v>5140</v>
      </c>
      <c r="AJ372">
        <f t="shared" si="372"/>
        <v>0</v>
      </c>
      <c r="AK372">
        <f t="shared" si="373"/>
        <v>0</v>
      </c>
      <c r="AL372">
        <f t="shared" si="374"/>
        <v>0</v>
      </c>
      <c r="AM372">
        <f t="shared" si="375"/>
        <v>0</v>
      </c>
      <c r="AO372">
        <f t="shared" si="376"/>
        <v>0</v>
      </c>
      <c r="AP372">
        <f t="shared" si="377"/>
        <v>0</v>
      </c>
      <c r="AQ372">
        <f t="shared" si="378"/>
        <v>0</v>
      </c>
      <c r="AR372">
        <f t="shared" si="379"/>
        <v>0</v>
      </c>
    </row>
    <row r="373" spans="2:44" x14ac:dyDescent="0.25">
      <c r="B373" s="204" t="s">
        <v>1026</v>
      </c>
      <c r="C373" s="78" t="s">
        <v>746</v>
      </c>
      <c r="D373" s="78"/>
      <c r="F373">
        <f t="shared" si="380"/>
        <v>0</v>
      </c>
      <c r="G373">
        <f t="shared" si="364"/>
        <v>1</v>
      </c>
      <c r="H373" s="121" t="s">
        <v>1025</v>
      </c>
      <c r="I373" s="121">
        <v>7</v>
      </c>
      <c r="K373" t="s">
        <v>1027</v>
      </c>
      <c r="M373" s="183" t="s">
        <v>1028</v>
      </c>
      <c r="N373" s="4" t="s">
        <v>36</v>
      </c>
      <c r="P373" s="86">
        <v>2310</v>
      </c>
      <c r="Q373" s="165">
        <f>P373*0.4</f>
        <v>924</v>
      </c>
      <c r="R373">
        <f t="shared" ref="R373:R409" si="382">IF(P373&gt;0,((P373+500)-Q373)+U373,0)</f>
        <v>1886</v>
      </c>
      <c r="S373" s="6" t="s">
        <v>1029</v>
      </c>
      <c r="T373" s="61"/>
      <c r="U373" s="61">
        <f t="shared" si="365"/>
        <v>0</v>
      </c>
      <c r="V373" s="7" t="str">
        <f t="shared" si="366"/>
        <v>NONE</v>
      </c>
      <c r="W373" s="56"/>
      <c r="X373" s="87" t="s">
        <v>1110</v>
      </c>
      <c r="Y373" s="61">
        <f t="shared" si="367"/>
        <v>2810</v>
      </c>
      <c r="Z373" s="61"/>
      <c r="AA373" s="1">
        <f t="shared" si="381"/>
        <v>0</v>
      </c>
      <c r="AB373" s="1">
        <f t="shared" si="368"/>
        <v>130</v>
      </c>
      <c r="AC373" s="1"/>
      <c r="AD373" s="65">
        <f t="shared" si="369"/>
        <v>2180</v>
      </c>
      <c r="AE373" s="1"/>
      <c r="AF373" s="1">
        <f t="shared" si="370"/>
        <v>30</v>
      </c>
      <c r="AG373" s="1">
        <f>IF(AH373&gt;0,AH243:AH373,0)</f>
        <v>2150</v>
      </c>
      <c r="AH373" s="1">
        <f t="shared" si="371"/>
        <v>2150</v>
      </c>
      <c r="AJ373">
        <f t="shared" si="372"/>
        <v>0</v>
      </c>
      <c r="AK373">
        <f t="shared" si="373"/>
        <v>0</v>
      </c>
      <c r="AL373">
        <f t="shared" si="374"/>
        <v>0</v>
      </c>
      <c r="AM373">
        <f t="shared" si="375"/>
        <v>0</v>
      </c>
      <c r="AO373">
        <f t="shared" si="376"/>
        <v>0</v>
      </c>
      <c r="AP373">
        <f t="shared" si="377"/>
        <v>0</v>
      </c>
      <c r="AQ373">
        <f t="shared" si="378"/>
        <v>0</v>
      </c>
      <c r="AR373">
        <f t="shared" si="379"/>
        <v>0</v>
      </c>
    </row>
    <row r="374" spans="2:44" x14ac:dyDescent="0.25">
      <c r="B374" s="82" t="s">
        <v>82</v>
      </c>
      <c r="C374" s="8"/>
      <c r="D374" s="8"/>
      <c r="E374" t="s">
        <v>42</v>
      </c>
      <c r="F374">
        <f t="shared" si="380"/>
        <v>8</v>
      </c>
      <c r="G374">
        <f t="shared" si="364"/>
        <v>0</v>
      </c>
      <c r="H374" t="s">
        <v>1177</v>
      </c>
      <c r="I374" s="121">
        <v>8</v>
      </c>
      <c r="K374" t="s">
        <v>1164</v>
      </c>
      <c r="N374" s="4" t="s">
        <v>36</v>
      </c>
      <c r="P374" s="86">
        <v>0</v>
      </c>
      <c r="Q374" s="165">
        <f>P374*0.5</f>
        <v>0</v>
      </c>
      <c r="R374">
        <f t="shared" si="382"/>
        <v>0</v>
      </c>
      <c r="S374" s="6"/>
      <c r="T374" s="61"/>
      <c r="U374" s="61">
        <f t="shared" si="365"/>
        <v>0</v>
      </c>
      <c r="V374" s="7" t="str">
        <f t="shared" si="366"/>
        <v>NONE</v>
      </c>
      <c r="W374" s="56"/>
      <c r="X374" s="5"/>
      <c r="Y374" s="61">
        <f t="shared" ref="Y374:Y409" si="383">R374+Q374</f>
        <v>0</v>
      </c>
      <c r="Z374" s="61"/>
      <c r="AA374" s="1">
        <f t="shared" si="381"/>
        <v>0</v>
      </c>
      <c r="AB374" s="1">
        <f t="shared" si="368"/>
        <v>130</v>
      </c>
      <c r="AC374" s="1"/>
      <c r="AD374" s="65">
        <f t="shared" si="369"/>
        <v>-130</v>
      </c>
      <c r="AE374" s="1"/>
      <c r="AF374" s="1">
        <f t="shared" si="370"/>
        <v>0</v>
      </c>
      <c r="AG374" s="1">
        <f>IF(AH374&gt;0,AH222:AH374,0)</f>
        <v>0</v>
      </c>
      <c r="AH374" s="1">
        <f t="shared" ref="AH374:AH386" si="384">AD374-AF374</f>
        <v>-130</v>
      </c>
      <c r="AJ374">
        <f t="shared" ref="AJ374:AJ386" si="385">IF(T374=1,P374-U374,0)</f>
        <v>0</v>
      </c>
      <c r="AK374">
        <f t="shared" ref="AK374:AK386" si="386">IF(T374=2,P374-U374,0)</f>
        <v>0</v>
      </c>
      <c r="AL374">
        <f t="shared" ref="AL374:AL386" si="387">IF(T374=3,P374-U374,0)</f>
        <v>0</v>
      </c>
      <c r="AM374">
        <f t="shared" ref="AM374:AM386" si="388">IF(T374=4,P374-U374,0)</f>
        <v>0</v>
      </c>
      <c r="AO374">
        <f t="shared" ref="AO374:AO386" si="389">IF(T374=1,P374-U374,0)</f>
        <v>0</v>
      </c>
      <c r="AP374">
        <f t="shared" ref="AP374:AP386" si="390">IF(T374=2,P374-U374,0)</f>
        <v>0</v>
      </c>
      <c r="AQ374">
        <f t="shared" ref="AQ374:AQ386" si="391">IF(T374=3,P374-U374,0)</f>
        <v>0</v>
      </c>
      <c r="AR374">
        <f t="shared" ref="AR374:AR386" si="392">IF(T374=4,P374-U374,0)</f>
        <v>0</v>
      </c>
    </row>
    <row r="375" spans="2:44" x14ac:dyDescent="0.25">
      <c r="B375" s="241" t="s">
        <v>1185</v>
      </c>
      <c r="C375" s="242" t="s">
        <v>1184</v>
      </c>
      <c r="D375" s="242"/>
      <c r="E375" s="94" t="s">
        <v>370</v>
      </c>
      <c r="F375">
        <f t="shared" si="380"/>
        <v>0</v>
      </c>
      <c r="G375">
        <f t="shared" si="364"/>
        <v>1</v>
      </c>
      <c r="H375" s="243" t="s">
        <v>1183</v>
      </c>
      <c r="I375" s="121">
        <v>5</v>
      </c>
      <c r="K375" t="s">
        <v>1195</v>
      </c>
      <c r="N375" s="4" t="s">
        <v>36</v>
      </c>
      <c r="P375" s="86">
        <v>1740.34</v>
      </c>
      <c r="Q375" s="165">
        <v>0</v>
      </c>
      <c r="R375">
        <v>1740.34</v>
      </c>
      <c r="S375" s="6" t="s">
        <v>370</v>
      </c>
      <c r="T375" s="61"/>
      <c r="U375" s="61">
        <f>IF(V375=$AE$2,47,IF(V375=$AE$1,ROUND(((P375+500)*0.039),0),IF(V375=$AE$3,0)))</f>
        <v>0</v>
      </c>
      <c r="V375" s="7" t="str">
        <f t="shared" ref="V375:V386" si="393">IF(W375=1,$AE$2,IF(W375=2,$AE$1,IF(AND(W375&lt;&gt;1,W375&lt;&gt;20)=TRUE,$AE$3)))</f>
        <v>NONE</v>
      </c>
      <c r="W375" s="56"/>
      <c r="X375" s="5" t="s">
        <v>1142</v>
      </c>
      <c r="Y375" s="61">
        <f t="shared" si="383"/>
        <v>1740.34</v>
      </c>
      <c r="Z375" s="61"/>
      <c r="AA375" s="1">
        <f t="shared" ref="AA375:AA389" si="394">IF(X375=$AA$1,R375-500,0)</f>
        <v>0</v>
      </c>
      <c r="AB375" s="1">
        <f t="shared" ref="AB375:AB386" si="395">IF(I375&gt;0,130,0)</f>
        <v>130</v>
      </c>
      <c r="AC375" s="1"/>
      <c r="AD375" s="65">
        <f t="shared" ref="AD375:AD386" si="396">(P375+U375)-AB375</f>
        <v>1610.34</v>
      </c>
      <c r="AE375" s="1"/>
      <c r="AF375" s="1">
        <f t="shared" ref="AF375:AF386" si="397">IF(I375&gt;0,30*G375,0)</f>
        <v>30</v>
      </c>
      <c r="AG375" s="1">
        <f>IF(AH375&gt;0,AH236:AH386,0)</f>
        <v>1580.34</v>
      </c>
      <c r="AH375" s="1">
        <f t="shared" si="384"/>
        <v>1580.34</v>
      </c>
      <c r="AJ375">
        <f t="shared" si="385"/>
        <v>0</v>
      </c>
      <c r="AK375">
        <f t="shared" si="386"/>
        <v>0</v>
      </c>
      <c r="AL375">
        <f t="shared" si="387"/>
        <v>0</v>
      </c>
      <c r="AM375">
        <f t="shared" si="388"/>
        <v>0</v>
      </c>
      <c r="AO375">
        <f t="shared" si="389"/>
        <v>0</v>
      </c>
      <c r="AP375">
        <f t="shared" si="390"/>
        <v>0</v>
      </c>
      <c r="AQ375">
        <f t="shared" si="391"/>
        <v>0</v>
      </c>
      <c r="AR375">
        <f t="shared" si="392"/>
        <v>0</v>
      </c>
    </row>
    <row r="376" spans="2:44" x14ac:dyDescent="0.25">
      <c r="B376" s="226" t="s">
        <v>1108</v>
      </c>
      <c r="C376" s="78" t="s">
        <v>1107</v>
      </c>
      <c r="D376" s="78"/>
      <c r="E376" s="161" t="s">
        <v>899</v>
      </c>
      <c r="F376">
        <f t="shared" si="380"/>
        <v>0</v>
      </c>
      <c r="G376">
        <f t="shared" si="364"/>
        <v>1</v>
      </c>
      <c r="H376" s="51" t="s">
        <v>1106</v>
      </c>
      <c r="I376" s="121">
        <v>6</v>
      </c>
      <c r="J376" s="48"/>
      <c r="K376" t="s">
        <v>1095</v>
      </c>
      <c r="M376" s="51"/>
      <c r="N376" s="4" t="s">
        <v>36</v>
      </c>
      <c r="P376" s="86">
        <f>3065-500</f>
        <v>2565</v>
      </c>
      <c r="Q376" s="165">
        <f>P376*1</f>
        <v>2565</v>
      </c>
      <c r="R376">
        <v>0</v>
      </c>
      <c r="S376" s="6" t="s">
        <v>1019</v>
      </c>
      <c r="T376" s="61"/>
      <c r="U376" s="61">
        <f t="shared" si="365"/>
        <v>0</v>
      </c>
      <c r="V376" s="7" t="str">
        <f t="shared" si="393"/>
        <v>NONE</v>
      </c>
      <c r="W376" s="56"/>
      <c r="X376" s="91" t="s">
        <v>1198</v>
      </c>
      <c r="Y376" s="165">
        <f t="shared" si="383"/>
        <v>2565</v>
      </c>
      <c r="Z376" s="61"/>
      <c r="AA376" s="1">
        <f t="shared" si="394"/>
        <v>0</v>
      </c>
      <c r="AB376" s="1">
        <f t="shared" si="395"/>
        <v>130</v>
      </c>
      <c r="AC376" s="1"/>
      <c r="AD376" s="65">
        <f t="shared" si="396"/>
        <v>2435</v>
      </c>
      <c r="AE376" s="1"/>
      <c r="AF376" s="1">
        <f t="shared" si="397"/>
        <v>30</v>
      </c>
      <c r="AG376" s="1">
        <f>IF(AH376&gt;0,AH245:AH376,0)</f>
        <v>2405</v>
      </c>
      <c r="AH376" s="1">
        <f t="shared" si="384"/>
        <v>2405</v>
      </c>
      <c r="AJ376">
        <f t="shared" si="385"/>
        <v>0</v>
      </c>
      <c r="AK376">
        <f t="shared" si="386"/>
        <v>0</v>
      </c>
      <c r="AL376">
        <f t="shared" si="387"/>
        <v>0</v>
      </c>
      <c r="AM376">
        <f t="shared" si="388"/>
        <v>0</v>
      </c>
      <c r="AO376">
        <f t="shared" si="389"/>
        <v>0</v>
      </c>
      <c r="AP376">
        <f t="shared" si="390"/>
        <v>0</v>
      </c>
      <c r="AQ376">
        <f t="shared" si="391"/>
        <v>0</v>
      </c>
      <c r="AR376">
        <f t="shared" si="392"/>
        <v>0</v>
      </c>
    </row>
    <row r="377" spans="2:44" ht="16.5" x14ac:dyDescent="0.3">
      <c r="B377" s="224" t="s">
        <v>1120</v>
      </c>
      <c r="C377" s="78" t="s">
        <v>1119</v>
      </c>
      <c r="D377" s="78"/>
      <c r="E377" t="s">
        <v>1129</v>
      </c>
      <c r="F377">
        <f t="shared" si="380"/>
        <v>0</v>
      </c>
      <c r="G377">
        <f t="shared" si="364"/>
        <v>1</v>
      </c>
      <c r="H377" t="s">
        <v>1118</v>
      </c>
      <c r="I377" s="121">
        <v>0</v>
      </c>
      <c r="K377" t="s">
        <v>777</v>
      </c>
      <c r="N377" s="4" t="s">
        <v>36</v>
      </c>
      <c r="P377" s="86">
        <v>640</v>
      </c>
      <c r="Q377" s="165">
        <v>640</v>
      </c>
      <c r="R377">
        <v>0</v>
      </c>
      <c r="S377" s="6" t="s">
        <v>1171</v>
      </c>
      <c r="T377" s="61"/>
      <c r="U377" s="61">
        <f>IF(V377=$AE$2,47,IF(V377=$AE$1,ROUND(((P377+500)*0.039),0),IF(V377=$AE$3,0)))</f>
        <v>0</v>
      </c>
      <c r="V377" s="7" t="str">
        <f t="shared" si="393"/>
        <v>NONE</v>
      </c>
      <c r="W377" s="56"/>
      <c r="X377" s="5" t="s">
        <v>1142</v>
      </c>
      <c r="Y377" s="61">
        <f t="shared" si="383"/>
        <v>640</v>
      </c>
      <c r="Z377" s="61"/>
      <c r="AA377" s="1">
        <f t="shared" si="394"/>
        <v>0</v>
      </c>
      <c r="AB377" s="1">
        <f t="shared" si="395"/>
        <v>0</v>
      </c>
      <c r="AC377" s="1"/>
      <c r="AD377" s="65">
        <f t="shared" si="396"/>
        <v>640</v>
      </c>
      <c r="AE377" s="1"/>
      <c r="AF377" s="1">
        <f t="shared" si="397"/>
        <v>0</v>
      </c>
      <c r="AG377" s="1">
        <f>IF(AH377&gt;0,AH237:AH377,0)</f>
        <v>640</v>
      </c>
      <c r="AH377" s="1">
        <f t="shared" si="384"/>
        <v>640</v>
      </c>
      <c r="AJ377">
        <f t="shared" si="385"/>
        <v>0</v>
      </c>
      <c r="AK377">
        <f t="shared" si="386"/>
        <v>0</v>
      </c>
      <c r="AL377">
        <f t="shared" si="387"/>
        <v>0</v>
      </c>
      <c r="AM377">
        <f t="shared" si="388"/>
        <v>0</v>
      </c>
      <c r="AO377">
        <f t="shared" si="389"/>
        <v>0</v>
      </c>
      <c r="AP377">
        <f t="shared" si="390"/>
        <v>0</v>
      </c>
      <c r="AQ377">
        <f t="shared" si="391"/>
        <v>0</v>
      </c>
      <c r="AR377">
        <f t="shared" si="392"/>
        <v>0</v>
      </c>
    </row>
    <row r="378" spans="2:44" ht="14.1" customHeight="1" x14ac:dyDescent="0.25">
      <c r="B378" s="247" t="s">
        <v>1094</v>
      </c>
      <c r="C378" s="78" t="s">
        <v>1096</v>
      </c>
      <c r="D378" s="78"/>
      <c r="E378" t="s">
        <v>370</v>
      </c>
      <c r="F378">
        <f t="shared" si="380"/>
        <v>0</v>
      </c>
      <c r="G378">
        <f t="shared" si="364"/>
        <v>1</v>
      </c>
      <c r="H378" s="227" t="s">
        <v>1117</v>
      </c>
      <c r="I378" s="121">
        <v>16</v>
      </c>
      <c r="K378" t="s">
        <v>1095</v>
      </c>
      <c r="N378" s="4" t="s">
        <v>36</v>
      </c>
      <c r="P378" s="86">
        <f>6217.23-309</f>
        <v>5908.23</v>
      </c>
      <c r="Q378" s="165">
        <f>3263.12-309</f>
        <v>2954.12</v>
      </c>
      <c r="R378">
        <f t="shared" si="382"/>
        <v>3454.1099999999997</v>
      </c>
      <c r="S378" s="6" t="s">
        <v>1019</v>
      </c>
      <c r="T378" s="61"/>
      <c r="U378" s="61">
        <f t="shared" si="365"/>
        <v>0</v>
      </c>
      <c r="V378" s="7" t="str">
        <f t="shared" si="393"/>
        <v>NONE</v>
      </c>
      <c r="W378" s="56"/>
      <c r="X378" s="5" t="s">
        <v>162</v>
      </c>
      <c r="Y378" s="182">
        <f t="shared" si="383"/>
        <v>6408.23</v>
      </c>
      <c r="Z378" s="61"/>
      <c r="AA378" s="1">
        <f t="shared" si="394"/>
        <v>0</v>
      </c>
      <c r="AB378" s="1">
        <f t="shared" si="395"/>
        <v>130</v>
      </c>
      <c r="AC378" s="1"/>
      <c r="AD378" s="65">
        <f t="shared" si="396"/>
        <v>5778.23</v>
      </c>
      <c r="AE378" s="1"/>
      <c r="AF378" s="1">
        <f t="shared" si="397"/>
        <v>30</v>
      </c>
      <c r="AG378" s="1">
        <f>IF(AH378&gt;0,AH239:AH398,0)</f>
        <v>5748.23</v>
      </c>
      <c r="AH378" s="1">
        <f t="shared" si="384"/>
        <v>5748.23</v>
      </c>
      <c r="AJ378">
        <f t="shared" si="385"/>
        <v>0</v>
      </c>
      <c r="AK378">
        <f t="shared" si="386"/>
        <v>0</v>
      </c>
      <c r="AL378">
        <f t="shared" si="387"/>
        <v>0</v>
      </c>
      <c r="AM378">
        <f t="shared" si="388"/>
        <v>0</v>
      </c>
      <c r="AO378">
        <f t="shared" si="389"/>
        <v>0</v>
      </c>
      <c r="AP378">
        <f t="shared" si="390"/>
        <v>0</v>
      </c>
      <c r="AQ378">
        <f t="shared" si="391"/>
        <v>0</v>
      </c>
      <c r="AR378">
        <f t="shared" si="392"/>
        <v>0</v>
      </c>
    </row>
    <row r="379" spans="2:44" x14ac:dyDescent="0.25">
      <c r="B379" s="184" t="s">
        <v>1173</v>
      </c>
      <c r="C379" s="267" t="s">
        <v>1172</v>
      </c>
      <c r="D379" s="267"/>
      <c r="E379" t="s">
        <v>370</v>
      </c>
      <c r="F379">
        <f t="shared" si="380"/>
        <v>0</v>
      </c>
      <c r="G379">
        <f t="shared" si="364"/>
        <v>1</v>
      </c>
      <c r="H379" t="s">
        <v>1174</v>
      </c>
      <c r="I379" s="121">
        <v>5</v>
      </c>
      <c r="K379" t="s">
        <v>1175</v>
      </c>
      <c r="N379" s="4" t="s">
        <v>36</v>
      </c>
      <c r="P379" s="86">
        <v>2249.1999999999998</v>
      </c>
      <c r="Q379" s="165">
        <v>2249.1999999999998</v>
      </c>
      <c r="R379">
        <f>IF(P379&gt;0,((P379+500)-Q379)+U379,0)</f>
        <v>500</v>
      </c>
      <c r="S379" s="6" t="s">
        <v>1176</v>
      </c>
      <c r="T379" s="61"/>
      <c r="U379" s="61">
        <f t="shared" si="365"/>
        <v>0</v>
      </c>
      <c r="V379" s="7" t="str">
        <f t="shared" si="393"/>
        <v>NONE</v>
      </c>
      <c r="W379" s="56"/>
      <c r="X379" s="183" t="s">
        <v>1193</v>
      </c>
      <c r="Y379" s="61">
        <f>R379+Q379</f>
        <v>2749.2</v>
      </c>
      <c r="Z379" s="61"/>
      <c r="AA379" s="1">
        <f t="shared" si="394"/>
        <v>0</v>
      </c>
      <c r="AB379" s="1">
        <f t="shared" si="395"/>
        <v>130</v>
      </c>
      <c r="AC379" s="1"/>
      <c r="AD379" s="65">
        <f t="shared" si="396"/>
        <v>2119.1999999999998</v>
      </c>
      <c r="AE379" s="1"/>
      <c r="AF379" s="1">
        <f t="shared" si="397"/>
        <v>30</v>
      </c>
      <c r="AG379" s="1">
        <f>IF(AH379&gt;0,AH240:AH379,0)</f>
        <v>2089.1999999999998</v>
      </c>
      <c r="AH379" s="1">
        <f t="shared" si="384"/>
        <v>2089.1999999999998</v>
      </c>
      <c r="AJ379">
        <f t="shared" si="385"/>
        <v>0</v>
      </c>
      <c r="AK379">
        <f t="shared" si="386"/>
        <v>0</v>
      </c>
      <c r="AL379">
        <f t="shared" si="387"/>
        <v>0</v>
      </c>
      <c r="AM379">
        <f t="shared" si="388"/>
        <v>0</v>
      </c>
      <c r="AO379">
        <f t="shared" si="389"/>
        <v>0</v>
      </c>
      <c r="AP379">
        <f t="shared" si="390"/>
        <v>0</v>
      </c>
      <c r="AQ379">
        <f t="shared" si="391"/>
        <v>0</v>
      </c>
      <c r="AR379">
        <f t="shared" si="392"/>
        <v>0</v>
      </c>
    </row>
    <row r="380" spans="2:44" x14ac:dyDescent="0.25">
      <c r="B380" s="82" t="s">
        <v>82</v>
      </c>
      <c r="E380" t="s">
        <v>42</v>
      </c>
      <c r="F380">
        <f t="shared" si="380"/>
        <v>3</v>
      </c>
      <c r="G380">
        <f t="shared" si="364"/>
        <v>0</v>
      </c>
      <c r="H380" s="240" t="s">
        <v>1178</v>
      </c>
      <c r="I380" s="121">
        <v>3</v>
      </c>
      <c r="J380" s="48"/>
      <c r="K380" t="s">
        <v>1182</v>
      </c>
      <c r="M380" s="180"/>
      <c r="N380" s="4" t="s">
        <v>36</v>
      </c>
      <c r="P380" s="86">
        <v>0</v>
      </c>
      <c r="Q380" s="165">
        <f>P380*0.5</f>
        <v>0</v>
      </c>
      <c r="R380">
        <f t="shared" si="382"/>
        <v>0</v>
      </c>
      <c r="S380" s="6"/>
      <c r="T380" s="61"/>
      <c r="U380" s="61">
        <f t="shared" ref="U380:U386" si="398">IF(V380=$AE$2,47,IF(V380=$AE$1,ROUND(((P380+500)*0.039),0),IF(V380=$AE$3,0)))</f>
        <v>0</v>
      </c>
      <c r="V380" s="7" t="str">
        <f t="shared" si="393"/>
        <v>NONE</v>
      </c>
      <c r="W380" s="56"/>
      <c r="X380" s="5"/>
      <c r="Y380" s="61">
        <f t="shared" si="383"/>
        <v>0</v>
      </c>
      <c r="Z380" s="61"/>
      <c r="AA380" s="1">
        <f t="shared" si="394"/>
        <v>0</v>
      </c>
      <c r="AB380" s="1">
        <f t="shared" si="395"/>
        <v>130</v>
      </c>
      <c r="AC380" s="1"/>
      <c r="AD380" s="65">
        <f t="shared" si="396"/>
        <v>-130</v>
      </c>
      <c r="AE380" s="1"/>
      <c r="AF380" s="1">
        <f t="shared" si="397"/>
        <v>0</v>
      </c>
      <c r="AG380" s="1">
        <f>IF(AH380&gt;0,AH246:AH380,0)</f>
        <v>0</v>
      </c>
      <c r="AH380" s="1">
        <f t="shared" si="384"/>
        <v>-130</v>
      </c>
      <c r="AJ380">
        <f t="shared" si="385"/>
        <v>0</v>
      </c>
      <c r="AK380">
        <f t="shared" si="386"/>
        <v>0</v>
      </c>
      <c r="AL380">
        <f t="shared" si="387"/>
        <v>0</v>
      </c>
      <c r="AM380">
        <f t="shared" si="388"/>
        <v>0</v>
      </c>
      <c r="AO380">
        <f t="shared" si="389"/>
        <v>0</v>
      </c>
      <c r="AP380">
        <f t="shared" si="390"/>
        <v>0</v>
      </c>
      <c r="AQ380">
        <f t="shared" si="391"/>
        <v>0</v>
      </c>
      <c r="AR380">
        <f t="shared" si="392"/>
        <v>0</v>
      </c>
    </row>
    <row r="381" spans="2:44" x14ac:dyDescent="0.25">
      <c r="B381" s="8" t="s">
        <v>1179</v>
      </c>
      <c r="C381" s="78" t="s">
        <v>1180</v>
      </c>
      <c r="D381" s="78"/>
      <c r="E381" t="s">
        <v>370</v>
      </c>
      <c r="F381">
        <f t="shared" si="380"/>
        <v>0</v>
      </c>
      <c r="G381">
        <f t="shared" si="364"/>
        <v>1</v>
      </c>
      <c r="H381" t="s">
        <v>1188</v>
      </c>
      <c r="I381" s="121">
        <v>5</v>
      </c>
      <c r="K381" t="s">
        <v>1181</v>
      </c>
      <c r="N381" s="4" t="s">
        <v>36</v>
      </c>
      <c r="P381" s="86">
        <v>1941.79</v>
      </c>
      <c r="Q381" s="165">
        <v>0</v>
      </c>
      <c r="R381">
        <v>1941.79</v>
      </c>
      <c r="S381" s="6" t="s">
        <v>370</v>
      </c>
      <c r="T381" s="61"/>
      <c r="U381" s="61">
        <f t="shared" si="398"/>
        <v>0</v>
      </c>
      <c r="V381" s="7" t="str">
        <f t="shared" si="393"/>
        <v>NONE</v>
      </c>
      <c r="W381" s="56"/>
      <c r="X381" s="5" t="s">
        <v>1194</v>
      </c>
      <c r="Y381" s="61">
        <f t="shared" si="383"/>
        <v>1941.79</v>
      </c>
      <c r="Z381" s="61"/>
      <c r="AA381" s="1">
        <f t="shared" si="394"/>
        <v>0</v>
      </c>
      <c r="AB381" s="1">
        <f t="shared" si="395"/>
        <v>130</v>
      </c>
      <c r="AC381" s="1"/>
      <c r="AD381" s="65">
        <f t="shared" si="396"/>
        <v>1811.79</v>
      </c>
      <c r="AE381" s="1"/>
      <c r="AF381" s="1">
        <f t="shared" si="397"/>
        <v>30</v>
      </c>
      <c r="AG381" s="1">
        <f>IF(AH381&gt;0,AH242:AH381,0)</f>
        <v>1781.79</v>
      </c>
      <c r="AH381" s="1">
        <f t="shared" si="384"/>
        <v>1781.79</v>
      </c>
      <c r="AJ381">
        <f t="shared" si="385"/>
        <v>0</v>
      </c>
      <c r="AK381">
        <f t="shared" si="386"/>
        <v>0</v>
      </c>
      <c r="AL381">
        <f t="shared" si="387"/>
        <v>0</v>
      </c>
      <c r="AM381">
        <f t="shared" si="388"/>
        <v>0</v>
      </c>
      <c r="AO381">
        <f t="shared" si="389"/>
        <v>0</v>
      </c>
      <c r="AP381">
        <f t="shared" si="390"/>
        <v>0</v>
      </c>
      <c r="AQ381">
        <f t="shared" si="391"/>
        <v>0</v>
      </c>
      <c r="AR381">
        <f t="shared" si="392"/>
        <v>0</v>
      </c>
    </row>
    <row r="382" spans="2:44" x14ac:dyDescent="0.25">
      <c r="B382" t="s">
        <v>1150</v>
      </c>
      <c r="C382" t="s">
        <v>1149</v>
      </c>
      <c r="E382" t="s">
        <v>370</v>
      </c>
      <c r="F382">
        <f t="shared" si="380"/>
        <v>0</v>
      </c>
      <c r="G382">
        <f t="shared" si="364"/>
        <v>1</v>
      </c>
      <c r="H382" t="s">
        <v>1151</v>
      </c>
      <c r="I382" s="121">
        <v>7</v>
      </c>
      <c r="K382" t="s">
        <v>873</v>
      </c>
      <c r="N382" s="4" t="s">
        <v>36</v>
      </c>
      <c r="P382" s="86">
        <v>2747.21</v>
      </c>
      <c r="Q382" s="165">
        <f>P382</f>
        <v>2747.21</v>
      </c>
      <c r="R382">
        <v>0</v>
      </c>
      <c r="S382" s="6" t="s">
        <v>370</v>
      </c>
      <c r="T382" s="61"/>
      <c r="U382" s="61">
        <f t="shared" si="398"/>
        <v>0</v>
      </c>
      <c r="V382" s="7" t="str">
        <f t="shared" si="393"/>
        <v>NONE</v>
      </c>
      <c r="W382" s="56"/>
      <c r="X382" s="5" t="s">
        <v>1157</v>
      </c>
      <c r="Y382" s="61">
        <f t="shared" si="383"/>
        <v>2747.21</v>
      </c>
      <c r="Z382" s="61"/>
      <c r="AA382" s="1">
        <f t="shared" si="394"/>
        <v>0</v>
      </c>
      <c r="AB382" s="1">
        <f t="shared" si="395"/>
        <v>130</v>
      </c>
      <c r="AC382" s="1"/>
      <c r="AD382" s="65">
        <f t="shared" si="396"/>
        <v>2617.21</v>
      </c>
      <c r="AE382" s="1"/>
      <c r="AF382" s="1">
        <f t="shared" si="397"/>
        <v>30</v>
      </c>
      <c r="AG382" s="1">
        <f>IF(AH382&gt;0,AH242:AH400,0)</f>
        <v>2587.21</v>
      </c>
      <c r="AH382" s="1">
        <f t="shared" si="384"/>
        <v>2587.21</v>
      </c>
      <c r="AJ382">
        <f t="shared" si="385"/>
        <v>0</v>
      </c>
      <c r="AK382">
        <f t="shared" si="386"/>
        <v>0</v>
      </c>
      <c r="AL382">
        <f t="shared" si="387"/>
        <v>0</v>
      </c>
      <c r="AM382">
        <f t="shared" si="388"/>
        <v>0</v>
      </c>
      <c r="AO382">
        <f t="shared" si="389"/>
        <v>0</v>
      </c>
      <c r="AP382">
        <f t="shared" si="390"/>
        <v>0</v>
      </c>
      <c r="AQ382">
        <f t="shared" si="391"/>
        <v>0</v>
      </c>
      <c r="AR382">
        <f t="shared" si="392"/>
        <v>0</v>
      </c>
    </row>
    <row r="383" spans="2:44" x14ac:dyDescent="0.25">
      <c r="B383" s="82" t="s">
        <v>82</v>
      </c>
      <c r="C383" s="8"/>
      <c r="D383" s="8"/>
      <c r="E383" t="s">
        <v>42</v>
      </c>
      <c r="F383">
        <f t="shared" si="380"/>
        <v>9</v>
      </c>
      <c r="G383">
        <f t="shared" si="364"/>
        <v>0</v>
      </c>
      <c r="H383" s="161" t="s">
        <v>1186</v>
      </c>
      <c r="I383" s="121">
        <v>9</v>
      </c>
      <c r="K383" t="s">
        <v>1164</v>
      </c>
      <c r="N383" s="4" t="s">
        <v>36</v>
      </c>
      <c r="P383" s="86">
        <v>0</v>
      </c>
      <c r="Q383" s="165">
        <f>P383*0.5</f>
        <v>0</v>
      </c>
      <c r="R383">
        <f t="shared" si="382"/>
        <v>0</v>
      </c>
      <c r="S383" s="6"/>
      <c r="T383" s="61"/>
      <c r="U383" s="61">
        <f t="shared" si="398"/>
        <v>0</v>
      </c>
      <c r="V383" s="7" t="str">
        <f t="shared" si="393"/>
        <v>NONE</v>
      </c>
      <c r="W383" s="56"/>
      <c r="X383" s="5"/>
      <c r="Y383" s="61">
        <f t="shared" si="383"/>
        <v>0</v>
      </c>
      <c r="Z383" s="61"/>
      <c r="AA383" s="1">
        <f t="shared" si="394"/>
        <v>0</v>
      </c>
      <c r="AB383" s="1">
        <f t="shared" si="395"/>
        <v>130</v>
      </c>
      <c r="AC383" s="1"/>
      <c r="AD383" s="65">
        <f t="shared" si="396"/>
        <v>-130</v>
      </c>
      <c r="AE383" s="1"/>
      <c r="AF383" s="1">
        <f t="shared" si="397"/>
        <v>0</v>
      </c>
      <c r="AG383" s="1">
        <f>IF(AH383&gt;0,AH239:AH383,0)</f>
        <v>0</v>
      </c>
      <c r="AH383" s="1">
        <f t="shared" si="384"/>
        <v>-130</v>
      </c>
      <c r="AJ383">
        <f t="shared" si="385"/>
        <v>0</v>
      </c>
      <c r="AK383">
        <f t="shared" si="386"/>
        <v>0</v>
      </c>
      <c r="AL383">
        <f t="shared" si="387"/>
        <v>0</v>
      </c>
      <c r="AM383">
        <f t="shared" si="388"/>
        <v>0</v>
      </c>
      <c r="AO383">
        <f t="shared" si="389"/>
        <v>0</v>
      </c>
      <c r="AP383">
        <f t="shared" si="390"/>
        <v>0</v>
      </c>
      <c r="AQ383">
        <f t="shared" si="391"/>
        <v>0</v>
      </c>
      <c r="AR383">
        <f t="shared" si="392"/>
        <v>0</v>
      </c>
    </row>
    <row r="384" spans="2:44" x14ac:dyDescent="0.25">
      <c r="B384" t="s">
        <v>1132</v>
      </c>
      <c r="C384" s="231" t="s">
        <v>1133</v>
      </c>
      <c r="D384" s="231"/>
      <c r="E384" t="s">
        <v>1129</v>
      </c>
      <c r="F384">
        <f t="shared" si="380"/>
        <v>0</v>
      </c>
      <c r="G384">
        <f t="shared" si="364"/>
        <v>1</v>
      </c>
      <c r="H384" s="121" t="s">
        <v>1204</v>
      </c>
      <c r="I384" s="121">
        <v>11</v>
      </c>
      <c r="K384" t="s">
        <v>1134</v>
      </c>
      <c r="N384" s="4" t="s">
        <v>36</v>
      </c>
      <c r="P384" s="86">
        <v>2419.1799999999998</v>
      </c>
      <c r="Q384" s="165">
        <v>0</v>
      </c>
      <c r="R384" s="176">
        <v>2419.1799999999998</v>
      </c>
      <c r="S384" s="235" t="s">
        <v>1135</v>
      </c>
      <c r="T384" s="61"/>
      <c r="U384" s="61">
        <f t="shared" si="398"/>
        <v>0</v>
      </c>
      <c r="V384" s="7" t="str">
        <f t="shared" si="393"/>
        <v>NONE</v>
      </c>
      <c r="W384" s="56"/>
      <c r="X384" s="87" t="s">
        <v>1142</v>
      </c>
      <c r="Y384" s="61">
        <f t="shared" si="383"/>
        <v>2419.1799999999998</v>
      </c>
      <c r="Z384" s="61"/>
      <c r="AA384" s="1">
        <f t="shared" si="394"/>
        <v>0</v>
      </c>
      <c r="AB384" s="1">
        <f t="shared" si="395"/>
        <v>130</v>
      </c>
      <c r="AC384" s="1"/>
      <c r="AD384" s="65">
        <f t="shared" si="396"/>
        <v>2289.1799999999998</v>
      </c>
      <c r="AE384" s="1"/>
      <c r="AF384" s="1">
        <f t="shared" si="397"/>
        <v>30</v>
      </c>
      <c r="AG384" s="1">
        <f>IF(AH384&gt;0,AH239:AH396,0)</f>
        <v>2259.1799999999998</v>
      </c>
      <c r="AH384" s="1">
        <f t="shared" si="384"/>
        <v>2259.1799999999998</v>
      </c>
      <c r="AJ384">
        <f t="shared" si="385"/>
        <v>0</v>
      </c>
      <c r="AK384">
        <f t="shared" si="386"/>
        <v>0</v>
      </c>
      <c r="AL384">
        <f t="shared" si="387"/>
        <v>0</v>
      </c>
      <c r="AM384">
        <f t="shared" si="388"/>
        <v>0</v>
      </c>
      <c r="AO384">
        <f t="shared" si="389"/>
        <v>0</v>
      </c>
      <c r="AP384">
        <f t="shared" si="390"/>
        <v>0</v>
      </c>
      <c r="AQ384">
        <f t="shared" si="391"/>
        <v>0</v>
      </c>
      <c r="AR384">
        <f t="shared" si="392"/>
        <v>0</v>
      </c>
    </row>
    <row r="385" spans="2:44" x14ac:dyDescent="0.25">
      <c r="B385" s="8"/>
      <c r="C385" s="8"/>
      <c r="D385" s="8"/>
      <c r="F385">
        <f t="shared" si="380"/>
        <v>0</v>
      </c>
      <c r="G385">
        <f t="shared" si="364"/>
        <v>1</v>
      </c>
      <c r="I385" s="121"/>
      <c r="N385" s="4" t="s">
        <v>36</v>
      </c>
      <c r="P385" s="86">
        <v>0</v>
      </c>
      <c r="Q385" s="165">
        <f>P385*0.5</f>
        <v>0</v>
      </c>
      <c r="R385">
        <f>IF(P385&gt;0,((P385+500)-Q385)+U385,0)</f>
        <v>0</v>
      </c>
      <c r="S385" s="6"/>
      <c r="T385" s="61"/>
      <c r="U385" s="61">
        <f t="shared" si="398"/>
        <v>0</v>
      </c>
      <c r="V385" s="7" t="str">
        <f t="shared" si="393"/>
        <v>NONE</v>
      </c>
      <c r="W385" s="56"/>
      <c r="X385" s="5"/>
      <c r="Y385" s="61">
        <f>R385+Q385</f>
        <v>0</v>
      </c>
      <c r="Z385" s="61"/>
      <c r="AA385" s="1">
        <f t="shared" si="394"/>
        <v>0</v>
      </c>
      <c r="AB385" s="1">
        <f t="shared" si="395"/>
        <v>0</v>
      </c>
      <c r="AC385" s="1"/>
      <c r="AD385" s="65">
        <f t="shared" si="396"/>
        <v>0</v>
      </c>
      <c r="AE385" s="1"/>
      <c r="AF385" s="1">
        <f t="shared" si="397"/>
        <v>0</v>
      </c>
      <c r="AG385" s="1">
        <f>IF(AH385&gt;0,AH242:AH385,0)</f>
        <v>0</v>
      </c>
      <c r="AH385" s="1">
        <f t="shared" si="384"/>
        <v>0</v>
      </c>
      <c r="AJ385">
        <f t="shared" si="385"/>
        <v>0</v>
      </c>
      <c r="AK385">
        <f t="shared" si="386"/>
        <v>0</v>
      </c>
      <c r="AL385">
        <f t="shared" si="387"/>
        <v>0</v>
      </c>
      <c r="AM385">
        <f t="shared" si="388"/>
        <v>0</v>
      </c>
      <c r="AO385">
        <f t="shared" si="389"/>
        <v>0</v>
      </c>
      <c r="AP385">
        <f t="shared" si="390"/>
        <v>0</v>
      </c>
      <c r="AQ385">
        <f t="shared" si="391"/>
        <v>0</v>
      </c>
      <c r="AR385">
        <f t="shared" si="392"/>
        <v>0</v>
      </c>
    </row>
    <row r="386" spans="2:44" x14ac:dyDescent="0.25">
      <c r="B386" s="8" t="s">
        <v>1165</v>
      </c>
      <c r="C386" s="237" t="s">
        <v>1168</v>
      </c>
      <c r="D386" s="237"/>
      <c r="E386" t="s">
        <v>370</v>
      </c>
      <c r="F386">
        <f t="shared" si="380"/>
        <v>0</v>
      </c>
      <c r="G386">
        <f t="shared" si="364"/>
        <v>1</v>
      </c>
      <c r="H386" t="s">
        <v>1187</v>
      </c>
      <c r="I386" s="121">
        <v>4</v>
      </c>
      <c r="K386" t="s">
        <v>1166</v>
      </c>
      <c r="M386" s="51"/>
      <c r="N386" s="4" t="s">
        <v>36</v>
      </c>
      <c r="P386" s="86">
        <v>1292.99</v>
      </c>
      <c r="Q386" s="165">
        <v>0</v>
      </c>
      <c r="R386">
        <v>0</v>
      </c>
      <c r="S386" s="198" t="s">
        <v>1167</v>
      </c>
      <c r="T386" s="61"/>
      <c r="U386" s="61">
        <f t="shared" si="398"/>
        <v>0</v>
      </c>
      <c r="V386" s="7" t="str">
        <f t="shared" si="393"/>
        <v>NONE</v>
      </c>
      <c r="W386" s="56"/>
      <c r="X386" s="5" t="s">
        <v>1142</v>
      </c>
      <c r="Y386" s="61">
        <f t="shared" si="383"/>
        <v>0</v>
      </c>
      <c r="Z386" s="61"/>
      <c r="AA386" s="1">
        <f t="shared" si="394"/>
        <v>0</v>
      </c>
      <c r="AB386" s="1">
        <f t="shared" si="395"/>
        <v>130</v>
      </c>
      <c r="AC386" s="1"/>
      <c r="AD386" s="65">
        <f t="shared" si="396"/>
        <v>1162.99</v>
      </c>
      <c r="AE386" s="1"/>
      <c r="AF386" s="1">
        <f t="shared" si="397"/>
        <v>30</v>
      </c>
      <c r="AG386" s="1">
        <f>IF(AH386&gt;0,AH244:AH386,0)</f>
        <v>1132.99</v>
      </c>
      <c r="AH386" s="1">
        <f t="shared" si="384"/>
        <v>1132.99</v>
      </c>
      <c r="AJ386">
        <f t="shared" si="385"/>
        <v>0</v>
      </c>
      <c r="AK386">
        <f t="shared" si="386"/>
        <v>0</v>
      </c>
      <c r="AL386">
        <f t="shared" si="387"/>
        <v>0</v>
      </c>
      <c r="AM386">
        <f t="shared" si="388"/>
        <v>0</v>
      </c>
      <c r="AO386">
        <f t="shared" si="389"/>
        <v>0</v>
      </c>
      <c r="AP386">
        <f t="shared" si="390"/>
        <v>0</v>
      </c>
      <c r="AQ386">
        <f t="shared" si="391"/>
        <v>0</v>
      </c>
      <c r="AR386">
        <f t="shared" si="392"/>
        <v>0</v>
      </c>
    </row>
    <row r="387" spans="2:44" x14ac:dyDescent="0.25">
      <c r="B387" s="8"/>
      <c r="C387" s="8"/>
      <c r="D387" s="8"/>
      <c r="F387">
        <f t="shared" si="380"/>
        <v>0</v>
      </c>
      <c r="G387">
        <f t="shared" si="364"/>
        <v>1</v>
      </c>
      <c r="I387" s="121"/>
      <c r="N387" s="4" t="s">
        <v>36</v>
      </c>
      <c r="P387" s="86">
        <v>0</v>
      </c>
      <c r="Q387" s="165">
        <f t="shared" ref="Q387:Q392" si="399">P387*0.5</f>
        <v>0</v>
      </c>
      <c r="R387">
        <f t="shared" si="382"/>
        <v>0</v>
      </c>
      <c r="S387" s="6"/>
      <c r="T387" s="61"/>
      <c r="U387" s="61">
        <f t="shared" ref="U387:U409" si="400">IF(V387=$AE$2,47,IF(V387=$AE$1,ROUND(((P387+500)*0.039),0),IF(V387=$AE$3,0)))</f>
        <v>0</v>
      </c>
      <c r="V387" s="7" t="str">
        <f t="shared" ref="V387:V409" si="401">IF(W387=1,$AE$2,IF(W387=2,$AE$1,IF(AND(W387&lt;&gt;1,W387&lt;&gt;20)=TRUE,$AE$3)))</f>
        <v>NONE</v>
      </c>
      <c r="W387" s="56"/>
      <c r="X387" s="5"/>
      <c r="Y387" s="61">
        <f t="shared" si="383"/>
        <v>0</v>
      </c>
      <c r="Z387" s="61"/>
      <c r="AA387" s="1">
        <f t="shared" si="394"/>
        <v>0</v>
      </c>
      <c r="AB387" s="1">
        <f t="shared" ref="AB387:AB409" si="402">IF(I387&gt;0,130,0)</f>
        <v>0</v>
      </c>
      <c r="AC387" s="1"/>
      <c r="AD387" s="65">
        <f t="shared" ref="AD387:AD409" si="403">(P387+U387)-AB387</f>
        <v>0</v>
      </c>
      <c r="AE387" s="1"/>
      <c r="AF387" s="1">
        <f t="shared" ref="AF387:AF409" si="404">IF(I387&gt;0,30*G387,0)</f>
        <v>0</v>
      </c>
      <c r="AG387" s="1">
        <f>IF(AH387&gt;0,AH244:AH387,0)</f>
        <v>0</v>
      </c>
      <c r="AH387" s="1">
        <f t="shared" ref="AH387:AH409" si="405">AD387-AF387</f>
        <v>0</v>
      </c>
      <c r="AJ387">
        <f t="shared" ref="AJ387:AJ409" si="406">IF(T387=1,P387-U387,0)</f>
        <v>0</v>
      </c>
      <c r="AK387">
        <f t="shared" ref="AK387:AK409" si="407">IF(T387=2,P387-U387,0)</f>
        <v>0</v>
      </c>
      <c r="AL387">
        <f t="shared" ref="AL387:AL409" si="408">IF(T387=3,P387-U387,0)</f>
        <v>0</v>
      </c>
      <c r="AM387">
        <f t="shared" ref="AM387:AM409" si="409">IF(T387=4,P387-U387,0)</f>
        <v>0</v>
      </c>
      <c r="AO387">
        <f t="shared" ref="AO387:AO409" si="410">IF(T387=1,P387-U387,0)</f>
        <v>0</v>
      </c>
      <c r="AP387">
        <f t="shared" ref="AP387:AP409" si="411">IF(T387=2,P387-U387,0)</f>
        <v>0</v>
      </c>
      <c r="AQ387">
        <f t="shared" ref="AQ387:AQ409" si="412">IF(T387=3,P387-U387,0)</f>
        <v>0</v>
      </c>
      <c r="AR387">
        <f t="shared" ref="AR387:AR409" si="413">IF(T387=4,P387-U387,0)</f>
        <v>0</v>
      </c>
    </row>
    <row r="388" spans="2:44" x14ac:dyDescent="0.25">
      <c r="B388" s="82" t="s">
        <v>82</v>
      </c>
      <c r="C388" s="8"/>
      <c r="D388" s="8"/>
      <c r="E388" t="s">
        <v>42</v>
      </c>
      <c r="F388">
        <f t="shared" si="380"/>
        <v>4</v>
      </c>
      <c r="G388">
        <f t="shared" si="364"/>
        <v>0</v>
      </c>
      <c r="H388" s="121" t="s">
        <v>1013</v>
      </c>
      <c r="I388" s="121">
        <v>4</v>
      </c>
      <c r="K388" t="s">
        <v>1164</v>
      </c>
      <c r="M388" s="51"/>
      <c r="N388" s="4" t="s">
        <v>36</v>
      </c>
      <c r="P388" s="86">
        <v>0</v>
      </c>
      <c r="Q388" s="165">
        <f t="shared" si="399"/>
        <v>0</v>
      </c>
      <c r="R388">
        <f t="shared" si="382"/>
        <v>0</v>
      </c>
      <c r="S388" s="6"/>
      <c r="T388" s="61"/>
      <c r="U388" s="61">
        <f t="shared" si="400"/>
        <v>0</v>
      </c>
      <c r="V388" s="7" t="str">
        <f t="shared" si="401"/>
        <v>NONE</v>
      </c>
      <c r="W388" s="56"/>
      <c r="X388" s="5"/>
      <c r="Y388" s="61">
        <f t="shared" si="383"/>
        <v>0</v>
      </c>
      <c r="Z388" s="61"/>
      <c r="AA388" s="1">
        <f t="shared" si="394"/>
        <v>0</v>
      </c>
      <c r="AB388" s="1">
        <f t="shared" si="402"/>
        <v>130</v>
      </c>
      <c r="AC388" s="1"/>
      <c r="AD388" s="65">
        <f t="shared" si="403"/>
        <v>-130</v>
      </c>
      <c r="AE388" s="1"/>
      <c r="AF388" s="1">
        <f t="shared" si="404"/>
        <v>0</v>
      </c>
      <c r="AG388" s="1">
        <f>IF(AH388&gt;0,AH246:AH388,0)</f>
        <v>0</v>
      </c>
      <c r="AH388" s="1">
        <f t="shared" si="405"/>
        <v>-130</v>
      </c>
      <c r="AJ388">
        <f t="shared" si="406"/>
        <v>0</v>
      </c>
      <c r="AK388">
        <f t="shared" si="407"/>
        <v>0</v>
      </c>
      <c r="AL388">
        <f t="shared" si="408"/>
        <v>0</v>
      </c>
      <c r="AM388">
        <f t="shared" si="409"/>
        <v>0</v>
      </c>
      <c r="AO388">
        <f t="shared" si="410"/>
        <v>0</v>
      </c>
      <c r="AP388">
        <f t="shared" si="411"/>
        <v>0</v>
      </c>
      <c r="AQ388">
        <f t="shared" si="412"/>
        <v>0</v>
      </c>
      <c r="AR388">
        <f t="shared" si="413"/>
        <v>0</v>
      </c>
    </row>
    <row r="389" spans="2:44" ht="15.75" customHeight="1" x14ac:dyDescent="0.25">
      <c r="B389" s="8"/>
      <c r="C389" s="8"/>
      <c r="D389" s="8"/>
      <c r="F389">
        <f t="shared" si="380"/>
        <v>0</v>
      </c>
      <c r="G389">
        <f t="shared" si="364"/>
        <v>1</v>
      </c>
      <c r="I389" s="121"/>
      <c r="N389" s="4" t="s">
        <v>36</v>
      </c>
      <c r="P389" s="86">
        <v>0</v>
      </c>
      <c r="Q389" s="165">
        <f t="shared" si="399"/>
        <v>0</v>
      </c>
      <c r="R389">
        <f t="shared" si="382"/>
        <v>0</v>
      </c>
      <c r="S389" s="6"/>
      <c r="T389" s="61"/>
      <c r="U389" s="61">
        <f t="shared" si="400"/>
        <v>0</v>
      </c>
      <c r="V389" s="7" t="str">
        <f t="shared" si="401"/>
        <v>NONE</v>
      </c>
      <c r="W389" s="56"/>
      <c r="X389" s="5"/>
      <c r="Y389" s="61">
        <f t="shared" si="383"/>
        <v>0</v>
      </c>
      <c r="Z389" s="61"/>
      <c r="AA389" s="1">
        <f t="shared" si="394"/>
        <v>0</v>
      </c>
      <c r="AB389" s="1">
        <f t="shared" si="402"/>
        <v>0</v>
      </c>
      <c r="AC389" s="1"/>
      <c r="AD389" s="65">
        <f t="shared" si="403"/>
        <v>0</v>
      </c>
      <c r="AE389" s="1"/>
      <c r="AF389" s="1">
        <f t="shared" si="404"/>
        <v>0</v>
      </c>
      <c r="AG389" s="1">
        <f>IF(AH389&gt;0,AH242:AH389,0)</f>
        <v>0</v>
      </c>
      <c r="AH389" s="1">
        <f t="shared" si="405"/>
        <v>0</v>
      </c>
      <c r="AJ389">
        <f t="shared" si="406"/>
        <v>0</v>
      </c>
      <c r="AK389">
        <f t="shared" si="407"/>
        <v>0</v>
      </c>
      <c r="AL389">
        <f t="shared" si="408"/>
        <v>0</v>
      </c>
      <c r="AM389">
        <f t="shared" si="409"/>
        <v>0</v>
      </c>
      <c r="AO389">
        <f t="shared" si="410"/>
        <v>0</v>
      </c>
      <c r="AP389">
        <f t="shared" si="411"/>
        <v>0</v>
      </c>
      <c r="AQ389">
        <f t="shared" si="412"/>
        <v>0</v>
      </c>
      <c r="AR389">
        <f t="shared" si="413"/>
        <v>0</v>
      </c>
    </row>
    <row r="390" spans="2:44" x14ac:dyDescent="0.25">
      <c r="B390" s="178"/>
      <c r="F390">
        <f t="shared" si="380"/>
        <v>0</v>
      </c>
      <c r="G390">
        <f t="shared" si="364"/>
        <v>1</v>
      </c>
      <c r="I390" s="121"/>
      <c r="N390" s="4" t="s">
        <v>36</v>
      </c>
      <c r="P390" s="86">
        <v>0</v>
      </c>
      <c r="Q390" s="165">
        <f t="shared" si="399"/>
        <v>0</v>
      </c>
      <c r="R390">
        <f t="shared" si="382"/>
        <v>0</v>
      </c>
      <c r="S390" s="6"/>
      <c r="T390" s="61"/>
      <c r="U390" s="61">
        <f t="shared" si="400"/>
        <v>0</v>
      </c>
      <c r="V390" s="7" t="str">
        <f t="shared" si="401"/>
        <v>NONE</v>
      </c>
      <c r="W390" s="56"/>
      <c r="X390" s="5"/>
      <c r="Y390" s="61">
        <f t="shared" si="383"/>
        <v>0</v>
      </c>
      <c r="Z390" s="61"/>
      <c r="AA390" s="1">
        <f t="shared" ref="AA390:AA409" si="414">IF(X390=$AA$1,R390-500,0)</f>
        <v>0</v>
      </c>
      <c r="AB390" s="1">
        <f t="shared" si="402"/>
        <v>0</v>
      </c>
      <c r="AC390" s="1"/>
      <c r="AD390" s="65">
        <f t="shared" si="403"/>
        <v>0</v>
      </c>
      <c r="AE390" s="1"/>
      <c r="AF390" s="1">
        <f t="shared" si="404"/>
        <v>0</v>
      </c>
      <c r="AG390" s="1">
        <f>IF(AH390&gt;0,AH244:AH390,0)</f>
        <v>0</v>
      </c>
      <c r="AH390" s="1">
        <f t="shared" si="405"/>
        <v>0</v>
      </c>
      <c r="AJ390">
        <f t="shared" si="406"/>
        <v>0</v>
      </c>
      <c r="AK390">
        <f t="shared" si="407"/>
        <v>0</v>
      </c>
      <c r="AL390">
        <f t="shared" si="408"/>
        <v>0</v>
      </c>
      <c r="AM390">
        <f t="shared" si="409"/>
        <v>0</v>
      </c>
      <c r="AO390">
        <f t="shared" si="410"/>
        <v>0</v>
      </c>
      <c r="AP390">
        <f t="shared" si="411"/>
        <v>0</v>
      </c>
      <c r="AQ390">
        <f t="shared" si="412"/>
        <v>0</v>
      </c>
      <c r="AR390">
        <f t="shared" si="413"/>
        <v>0</v>
      </c>
    </row>
    <row r="391" spans="2:44" x14ac:dyDescent="0.25">
      <c r="B391" s="120"/>
      <c r="F391">
        <f t="shared" si="380"/>
        <v>0</v>
      </c>
      <c r="G391">
        <f t="shared" si="364"/>
        <v>1</v>
      </c>
      <c r="H391" s="121"/>
      <c r="I391" s="121"/>
      <c r="N391" s="4" t="s">
        <v>36</v>
      </c>
      <c r="P391" s="86">
        <v>0</v>
      </c>
      <c r="Q391" s="165">
        <f t="shared" si="399"/>
        <v>0</v>
      </c>
      <c r="R391">
        <f t="shared" si="382"/>
        <v>0</v>
      </c>
      <c r="S391" s="6"/>
      <c r="T391" s="61"/>
      <c r="U391" s="61">
        <f t="shared" si="400"/>
        <v>0</v>
      </c>
      <c r="V391" s="7" t="str">
        <f t="shared" si="401"/>
        <v>NONE</v>
      </c>
      <c r="W391" s="56"/>
      <c r="X391" s="87"/>
      <c r="Y391" s="61">
        <f t="shared" si="383"/>
        <v>0</v>
      </c>
      <c r="Z391" s="61"/>
      <c r="AA391" s="1">
        <f t="shared" si="414"/>
        <v>0</v>
      </c>
      <c r="AB391" s="1">
        <f t="shared" si="402"/>
        <v>0</v>
      </c>
      <c r="AC391" s="1"/>
      <c r="AD391" s="65">
        <f t="shared" si="403"/>
        <v>0</v>
      </c>
      <c r="AE391" s="1"/>
      <c r="AF391" s="1">
        <f t="shared" si="404"/>
        <v>0</v>
      </c>
      <c r="AG391" s="1">
        <f>IF(AH391&gt;0,AH244:AH401,0)</f>
        <v>0</v>
      </c>
      <c r="AH391" s="1">
        <f t="shared" si="405"/>
        <v>0</v>
      </c>
      <c r="AJ391">
        <f t="shared" si="406"/>
        <v>0</v>
      </c>
      <c r="AK391">
        <f t="shared" si="407"/>
        <v>0</v>
      </c>
      <c r="AL391">
        <f t="shared" si="408"/>
        <v>0</v>
      </c>
      <c r="AM391">
        <f t="shared" si="409"/>
        <v>0</v>
      </c>
      <c r="AO391">
        <f t="shared" si="410"/>
        <v>0</v>
      </c>
      <c r="AP391">
        <f t="shared" si="411"/>
        <v>0</v>
      </c>
      <c r="AQ391">
        <f t="shared" si="412"/>
        <v>0</v>
      </c>
      <c r="AR391">
        <f t="shared" si="413"/>
        <v>0</v>
      </c>
    </row>
    <row r="392" spans="2:44" ht="13.15" customHeight="1" x14ac:dyDescent="0.25">
      <c r="B392" s="82" t="s">
        <v>82</v>
      </c>
      <c r="C392" s="8"/>
      <c r="D392" s="8"/>
      <c r="E392" t="s">
        <v>42</v>
      </c>
      <c r="F392">
        <f t="shared" si="380"/>
        <v>0</v>
      </c>
      <c r="G392">
        <f t="shared" si="364"/>
        <v>1</v>
      </c>
      <c r="H392" s="121" t="s">
        <v>1014</v>
      </c>
      <c r="I392" s="121"/>
      <c r="K392" t="s">
        <v>1164</v>
      </c>
      <c r="N392" s="4" t="s">
        <v>36</v>
      </c>
      <c r="P392" s="86">
        <v>0</v>
      </c>
      <c r="Q392" s="165">
        <f t="shared" si="399"/>
        <v>0</v>
      </c>
      <c r="R392">
        <f t="shared" si="382"/>
        <v>0</v>
      </c>
      <c r="S392" s="6"/>
      <c r="T392" s="61"/>
      <c r="U392" s="61">
        <f t="shared" si="400"/>
        <v>0</v>
      </c>
      <c r="V392" s="7" t="str">
        <f t="shared" si="401"/>
        <v>NONE</v>
      </c>
      <c r="W392" s="56"/>
      <c r="X392" s="5"/>
      <c r="Y392" s="61">
        <f t="shared" si="383"/>
        <v>0</v>
      </c>
      <c r="Z392" s="61"/>
      <c r="AA392" s="1">
        <f t="shared" si="414"/>
        <v>0</v>
      </c>
      <c r="AB392" s="1">
        <f t="shared" si="402"/>
        <v>0</v>
      </c>
      <c r="AC392" s="1"/>
      <c r="AD392" s="65">
        <f t="shared" si="403"/>
        <v>0</v>
      </c>
      <c r="AE392" s="1"/>
      <c r="AF392" s="1">
        <f t="shared" si="404"/>
        <v>0</v>
      </c>
      <c r="AG392" s="1">
        <f>IF(AH392&gt;0,AH247:AH392,0)</f>
        <v>0</v>
      </c>
      <c r="AH392" s="1">
        <f t="shared" si="405"/>
        <v>0</v>
      </c>
      <c r="AJ392">
        <f t="shared" si="406"/>
        <v>0</v>
      </c>
      <c r="AK392">
        <f t="shared" si="407"/>
        <v>0</v>
      </c>
      <c r="AL392">
        <f t="shared" si="408"/>
        <v>0</v>
      </c>
      <c r="AM392">
        <f t="shared" si="409"/>
        <v>0</v>
      </c>
      <c r="AO392">
        <f t="shared" si="410"/>
        <v>0</v>
      </c>
      <c r="AP392">
        <f t="shared" si="411"/>
        <v>0</v>
      </c>
      <c r="AQ392">
        <f t="shared" si="412"/>
        <v>0</v>
      </c>
      <c r="AR392">
        <f t="shared" si="413"/>
        <v>0</v>
      </c>
    </row>
    <row r="393" spans="2:44" ht="13.9" customHeight="1" x14ac:dyDescent="0.25">
      <c r="B393" s="257" t="s">
        <v>1216</v>
      </c>
      <c r="C393" s="78" t="s">
        <v>1215</v>
      </c>
      <c r="D393" s="78"/>
      <c r="E393" t="s">
        <v>370</v>
      </c>
      <c r="F393">
        <f t="shared" si="380"/>
        <v>0</v>
      </c>
      <c r="G393">
        <f t="shared" si="364"/>
        <v>1</v>
      </c>
      <c r="H393" t="s">
        <v>1214</v>
      </c>
      <c r="I393" s="121"/>
      <c r="K393" t="s">
        <v>1217</v>
      </c>
      <c r="M393" s="87"/>
      <c r="N393" s="4" t="s">
        <v>36</v>
      </c>
      <c r="P393" s="86">
        <v>2605</v>
      </c>
      <c r="Q393" s="165">
        <v>2605</v>
      </c>
      <c r="R393">
        <v>0</v>
      </c>
      <c r="S393" s="6" t="s">
        <v>370</v>
      </c>
      <c r="T393" s="61"/>
      <c r="U393" s="61">
        <f t="shared" si="400"/>
        <v>0</v>
      </c>
      <c r="V393" s="7" t="str">
        <f t="shared" si="401"/>
        <v>NONE</v>
      </c>
      <c r="W393" s="56"/>
      <c r="X393" s="5" t="s">
        <v>1219</v>
      </c>
      <c r="Y393" s="61">
        <f t="shared" si="383"/>
        <v>2605</v>
      </c>
      <c r="Z393" s="61"/>
      <c r="AA393" s="1">
        <f t="shared" si="414"/>
        <v>0</v>
      </c>
      <c r="AB393" s="1">
        <f t="shared" si="402"/>
        <v>0</v>
      </c>
      <c r="AC393" s="1"/>
      <c r="AD393" s="65">
        <f t="shared" si="403"/>
        <v>2605</v>
      </c>
      <c r="AE393" s="1"/>
      <c r="AF393" s="1">
        <f t="shared" si="404"/>
        <v>0</v>
      </c>
      <c r="AG393" s="1">
        <f>IF(AH393&gt;0,AH247:AH393,0)</f>
        <v>2605</v>
      </c>
      <c r="AH393" s="1">
        <f t="shared" si="405"/>
        <v>2605</v>
      </c>
      <c r="AJ393">
        <f t="shared" si="406"/>
        <v>0</v>
      </c>
      <c r="AK393">
        <f t="shared" si="407"/>
        <v>0</v>
      </c>
      <c r="AL393">
        <f t="shared" si="408"/>
        <v>0</v>
      </c>
      <c r="AM393">
        <f t="shared" si="409"/>
        <v>0</v>
      </c>
      <c r="AO393">
        <f t="shared" si="410"/>
        <v>0</v>
      </c>
      <c r="AP393">
        <f t="shared" si="411"/>
        <v>0</v>
      </c>
      <c r="AQ393">
        <f t="shared" si="412"/>
        <v>0</v>
      </c>
      <c r="AR393">
        <f t="shared" si="413"/>
        <v>0</v>
      </c>
    </row>
    <row r="394" spans="2:44" x14ac:dyDescent="0.25">
      <c r="B394" s="250" t="s">
        <v>1205</v>
      </c>
      <c r="C394" s="249" t="s">
        <v>1206</v>
      </c>
      <c r="D394" s="249"/>
      <c r="E394" t="s">
        <v>370</v>
      </c>
      <c r="F394">
        <f>IF(E394=$B$12,I394,0)</f>
        <v>0</v>
      </c>
      <c r="G394">
        <f>IF(F394&gt;0,0,1)</f>
        <v>1</v>
      </c>
      <c r="H394" s="121" t="s">
        <v>1207</v>
      </c>
      <c r="I394" s="121">
        <v>4</v>
      </c>
      <c r="K394" t="s">
        <v>1060</v>
      </c>
      <c r="N394" s="4" t="s">
        <v>36</v>
      </c>
      <c r="P394" s="86">
        <v>1384.38</v>
      </c>
      <c r="Q394" s="165">
        <v>1384.38</v>
      </c>
      <c r="R394">
        <v>0</v>
      </c>
      <c r="S394" s="6" t="s">
        <v>370</v>
      </c>
      <c r="T394" s="61"/>
      <c r="U394" s="61">
        <f>IF(V394=$AE$2,47,IF(V394=$AE$1,ROUND(((P394+500)*0.039),0),IF(V394=$AE$3,0)))</f>
        <v>0</v>
      </c>
      <c r="V394" s="7" t="str">
        <f>IF(W394=1,$AE$2,IF(W394=2,$AE$1,IF(AND(W394&lt;&gt;1,W394&lt;&gt;20)=TRUE,$AE$3)))</f>
        <v>NONE</v>
      </c>
      <c r="W394" s="56"/>
      <c r="X394" s="87" t="s">
        <v>1219</v>
      </c>
      <c r="Y394" s="61">
        <f>R394+Q394</f>
        <v>1384.38</v>
      </c>
      <c r="Z394" s="61"/>
      <c r="AA394" s="1">
        <f>IF(X394=$AA$1,R394-500,0)</f>
        <v>0</v>
      </c>
      <c r="AB394" s="1">
        <f>IF(I394&gt;0,130,0)</f>
        <v>130</v>
      </c>
      <c r="AC394" s="1"/>
      <c r="AD394" s="65">
        <f>(P394+U394)-AB394</f>
        <v>1254.3800000000001</v>
      </c>
      <c r="AE394" s="1"/>
      <c r="AF394" s="1">
        <f>IF(I394&gt;0,30*G394,0)</f>
        <v>30</v>
      </c>
      <c r="AG394" s="1">
        <f>IF(AH394&gt;0,AH248:AH403,0)</f>
        <v>1224.3800000000001</v>
      </c>
      <c r="AH394" s="1">
        <f>AD394-AF394</f>
        <v>1224.3800000000001</v>
      </c>
      <c r="AJ394">
        <f>IF(T394=1,P394-U394,0)</f>
        <v>0</v>
      </c>
      <c r="AK394">
        <f>IF(T394=2,P394-U394,0)</f>
        <v>0</v>
      </c>
      <c r="AL394">
        <f>IF(T394=3,P394-U394,0)</f>
        <v>0</v>
      </c>
      <c r="AM394">
        <f>IF(T394=4,P394-U394,0)</f>
        <v>0</v>
      </c>
      <c r="AO394">
        <f>IF(T394=1,P394-U394,0)</f>
        <v>0</v>
      </c>
      <c r="AP394">
        <f>IF(T394=2,P394-U394,0)</f>
        <v>0</v>
      </c>
      <c r="AQ394">
        <f>IF(T394=3,P394-U394,0)</f>
        <v>0</v>
      </c>
      <c r="AR394">
        <f>IF(T394=4,P394-U394,0)</f>
        <v>0</v>
      </c>
    </row>
    <row r="395" spans="2:44" x14ac:dyDescent="0.25">
      <c r="B395" s="8"/>
      <c r="C395" s="8"/>
      <c r="D395" s="8"/>
      <c r="F395">
        <f t="shared" si="380"/>
        <v>0</v>
      </c>
      <c r="G395">
        <f t="shared" si="364"/>
        <v>1</v>
      </c>
      <c r="I395" s="121"/>
      <c r="N395" s="4" t="s">
        <v>36</v>
      </c>
      <c r="P395" s="86">
        <v>0</v>
      </c>
      <c r="Q395" s="165">
        <f>P395*0.5</f>
        <v>0</v>
      </c>
      <c r="R395">
        <f t="shared" si="382"/>
        <v>0</v>
      </c>
      <c r="S395" s="6"/>
      <c r="T395" s="61"/>
      <c r="U395" s="61">
        <f t="shared" si="400"/>
        <v>0</v>
      </c>
      <c r="V395" s="7" t="str">
        <f t="shared" si="401"/>
        <v>NONE</v>
      </c>
      <c r="W395" s="56"/>
      <c r="X395" s="5"/>
      <c r="Y395" s="61">
        <f t="shared" si="383"/>
        <v>0</v>
      </c>
      <c r="Z395" s="61"/>
      <c r="AA395" s="1">
        <f t="shared" si="414"/>
        <v>0</v>
      </c>
      <c r="AB395" s="1">
        <f t="shared" si="402"/>
        <v>0</v>
      </c>
      <c r="AC395" s="1"/>
      <c r="AD395" s="65">
        <f t="shared" si="403"/>
        <v>0</v>
      </c>
      <c r="AE395" s="1"/>
      <c r="AF395" s="1">
        <f t="shared" si="404"/>
        <v>0</v>
      </c>
      <c r="AG395" s="1">
        <f>IF(AH395&gt;0,AH248:AH395,0)</f>
        <v>0</v>
      </c>
      <c r="AH395" s="1">
        <f t="shared" si="405"/>
        <v>0</v>
      </c>
      <c r="AJ395">
        <f t="shared" si="406"/>
        <v>0</v>
      </c>
      <c r="AK395">
        <f t="shared" si="407"/>
        <v>0</v>
      </c>
      <c r="AL395">
        <f t="shared" si="408"/>
        <v>0</v>
      </c>
      <c r="AM395">
        <f t="shared" si="409"/>
        <v>0</v>
      </c>
      <c r="AO395">
        <f t="shared" si="410"/>
        <v>0</v>
      </c>
      <c r="AP395">
        <f t="shared" si="411"/>
        <v>0</v>
      </c>
      <c r="AQ395">
        <f t="shared" si="412"/>
        <v>0</v>
      </c>
      <c r="AR395">
        <f t="shared" si="413"/>
        <v>0</v>
      </c>
    </row>
    <row r="396" spans="2:44" x14ac:dyDescent="0.25">
      <c r="B396" s="8"/>
      <c r="F396">
        <f t="shared" si="380"/>
        <v>0</v>
      </c>
      <c r="G396">
        <f t="shared" si="364"/>
        <v>1</v>
      </c>
      <c r="I396" s="121"/>
      <c r="N396" s="4" t="s">
        <v>36</v>
      </c>
      <c r="P396" s="86">
        <v>0</v>
      </c>
      <c r="Q396" s="165">
        <f>P396*0.5</f>
        <v>0</v>
      </c>
      <c r="R396">
        <f t="shared" si="382"/>
        <v>0</v>
      </c>
      <c r="S396" s="6"/>
      <c r="T396" s="61"/>
      <c r="U396" s="61">
        <f t="shared" si="400"/>
        <v>0</v>
      </c>
      <c r="V396" s="7" t="str">
        <f t="shared" si="401"/>
        <v>NONE</v>
      </c>
      <c r="W396" s="56"/>
      <c r="X396" s="5"/>
      <c r="Y396" s="61">
        <f t="shared" si="383"/>
        <v>0</v>
      </c>
      <c r="Z396" s="61"/>
      <c r="AA396" s="1">
        <f t="shared" si="414"/>
        <v>0</v>
      </c>
      <c r="AB396" s="1">
        <f t="shared" si="402"/>
        <v>0</v>
      </c>
      <c r="AC396" s="1"/>
      <c r="AD396" s="65">
        <f t="shared" si="403"/>
        <v>0</v>
      </c>
      <c r="AE396" s="1"/>
      <c r="AF396" s="1">
        <f t="shared" si="404"/>
        <v>0</v>
      </c>
      <c r="AG396" s="1">
        <f>IF(AH396&gt;0,AH247:AH401,0)</f>
        <v>0</v>
      </c>
      <c r="AH396" s="1">
        <f t="shared" si="405"/>
        <v>0</v>
      </c>
      <c r="AJ396">
        <f t="shared" si="406"/>
        <v>0</v>
      </c>
      <c r="AK396">
        <f t="shared" si="407"/>
        <v>0</v>
      </c>
      <c r="AL396">
        <f t="shared" si="408"/>
        <v>0</v>
      </c>
      <c r="AM396">
        <f t="shared" si="409"/>
        <v>0</v>
      </c>
      <c r="AO396">
        <f t="shared" si="410"/>
        <v>0</v>
      </c>
      <c r="AP396">
        <f t="shared" si="411"/>
        <v>0</v>
      </c>
      <c r="AQ396">
        <f t="shared" si="412"/>
        <v>0</v>
      </c>
      <c r="AR396">
        <f t="shared" si="413"/>
        <v>0</v>
      </c>
    </row>
    <row r="397" spans="2:44" x14ac:dyDescent="0.25">
      <c r="B397" s="82" t="s">
        <v>82</v>
      </c>
      <c r="C397" s="8"/>
      <c r="D397" s="8"/>
      <c r="E397" t="s">
        <v>42</v>
      </c>
      <c r="F397">
        <f t="shared" si="380"/>
        <v>35</v>
      </c>
      <c r="G397">
        <f t="shared" si="364"/>
        <v>0</v>
      </c>
      <c r="H397" s="121" t="s">
        <v>1015</v>
      </c>
      <c r="I397" s="121">
        <v>35</v>
      </c>
      <c r="K397" t="s">
        <v>1164</v>
      </c>
      <c r="N397" s="4" t="s">
        <v>36</v>
      </c>
      <c r="P397" s="86">
        <v>0</v>
      </c>
      <c r="Q397" s="165">
        <f>P397*0.5</f>
        <v>0</v>
      </c>
      <c r="R397">
        <f t="shared" si="382"/>
        <v>0</v>
      </c>
      <c r="S397" s="6"/>
      <c r="T397" s="61"/>
      <c r="U397" s="61">
        <f t="shared" si="400"/>
        <v>0</v>
      </c>
      <c r="V397" s="7" t="str">
        <f t="shared" si="401"/>
        <v>NONE</v>
      </c>
      <c r="W397" s="56"/>
      <c r="X397" s="5"/>
      <c r="Y397" s="61">
        <f t="shared" si="383"/>
        <v>0</v>
      </c>
      <c r="Z397" s="61"/>
      <c r="AA397" s="1">
        <f t="shared" si="414"/>
        <v>0</v>
      </c>
      <c r="AB397" s="1">
        <f t="shared" si="402"/>
        <v>130</v>
      </c>
      <c r="AC397" s="1"/>
      <c r="AD397" s="65">
        <f t="shared" si="403"/>
        <v>-130</v>
      </c>
      <c r="AE397" s="1"/>
      <c r="AF397" s="1">
        <f t="shared" si="404"/>
        <v>0</v>
      </c>
      <c r="AG397" s="1">
        <f>IF(AH397&gt;0,AH249:AH397,0)</f>
        <v>0</v>
      </c>
      <c r="AH397" s="1">
        <f t="shared" si="405"/>
        <v>-130</v>
      </c>
      <c r="AJ397">
        <f t="shared" si="406"/>
        <v>0</v>
      </c>
      <c r="AK397">
        <f t="shared" si="407"/>
        <v>0</v>
      </c>
      <c r="AL397">
        <f t="shared" si="408"/>
        <v>0</v>
      </c>
      <c r="AM397">
        <f t="shared" si="409"/>
        <v>0</v>
      </c>
      <c r="AO397">
        <f t="shared" si="410"/>
        <v>0</v>
      </c>
      <c r="AP397">
        <f t="shared" si="411"/>
        <v>0</v>
      </c>
      <c r="AQ397">
        <f t="shared" si="412"/>
        <v>0</v>
      </c>
      <c r="AR397">
        <f t="shared" si="413"/>
        <v>0</v>
      </c>
    </row>
    <row r="398" spans="2:44" ht="18.600000000000001" customHeight="1" x14ac:dyDescent="0.25">
      <c r="B398" s="268" t="s">
        <v>1243</v>
      </c>
      <c r="C398" s="249" t="s">
        <v>1244</v>
      </c>
      <c r="D398" s="249"/>
      <c r="E398" s="248" t="s">
        <v>1129</v>
      </c>
      <c r="F398" s="248">
        <f t="shared" si="380"/>
        <v>0</v>
      </c>
      <c r="G398" s="248">
        <f t="shared" si="364"/>
        <v>1</v>
      </c>
      <c r="H398" s="250" t="s">
        <v>1241</v>
      </c>
      <c r="I398" s="121">
        <v>4</v>
      </c>
      <c r="K398" s="5">
        <v>6</v>
      </c>
      <c r="N398" s="4" t="s">
        <v>36</v>
      </c>
      <c r="P398" s="86">
        <v>1245.48</v>
      </c>
      <c r="Q398" s="165">
        <v>1245.48</v>
      </c>
      <c r="R398">
        <v>0</v>
      </c>
      <c r="S398" s="6" t="s">
        <v>1129</v>
      </c>
      <c r="T398" s="264" t="s">
        <v>1245</v>
      </c>
      <c r="U398" s="61">
        <f t="shared" si="400"/>
        <v>0</v>
      </c>
      <c r="V398" s="7" t="str">
        <f t="shared" si="401"/>
        <v>NONE</v>
      </c>
      <c r="W398" s="56"/>
      <c r="X398" s="183"/>
      <c r="Y398" s="61">
        <f t="shared" si="383"/>
        <v>1245.48</v>
      </c>
      <c r="Z398" s="61"/>
      <c r="AA398" s="1">
        <f t="shared" si="414"/>
        <v>0</v>
      </c>
      <c r="AB398" s="1">
        <f t="shared" si="402"/>
        <v>130</v>
      </c>
      <c r="AC398" s="1"/>
      <c r="AD398" s="65">
        <f t="shared" si="403"/>
        <v>1115.48</v>
      </c>
      <c r="AE398" s="1"/>
      <c r="AF398" s="1">
        <f t="shared" si="404"/>
        <v>30</v>
      </c>
      <c r="AG398" s="1">
        <f>IF(AH398&gt;0,AH247:AH398,0)</f>
        <v>1085.48</v>
      </c>
      <c r="AH398" s="1">
        <f t="shared" si="405"/>
        <v>1085.48</v>
      </c>
      <c r="AJ398">
        <f t="shared" si="406"/>
        <v>0</v>
      </c>
      <c r="AK398">
        <f t="shared" si="407"/>
        <v>0</v>
      </c>
      <c r="AL398">
        <f t="shared" si="408"/>
        <v>0</v>
      </c>
      <c r="AM398">
        <f t="shared" si="409"/>
        <v>0</v>
      </c>
      <c r="AO398">
        <f t="shared" si="410"/>
        <v>0</v>
      </c>
      <c r="AP398">
        <f t="shared" si="411"/>
        <v>0</v>
      </c>
      <c r="AQ398">
        <f t="shared" si="412"/>
        <v>0</v>
      </c>
      <c r="AR398">
        <f t="shared" si="413"/>
        <v>0</v>
      </c>
    </row>
    <row r="399" spans="2:44" x14ac:dyDescent="0.25">
      <c r="B399" s="8"/>
      <c r="F399">
        <f t="shared" si="380"/>
        <v>0</v>
      </c>
      <c r="G399">
        <f t="shared" si="364"/>
        <v>1</v>
      </c>
      <c r="H399" s="121"/>
      <c r="I399" s="121"/>
      <c r="N399" s="4" t="s">
        <v>36</v>
      </c>
      <c r="P399" s="86">
        <v>0</v>
      </c>
      <c r="Q399" s="165">
        <f>P399*0.5</f>
        <v>0</v>
      </c>
      <c r="R399">
        <f t="shared" si="382"/>
        <v>0</v>
      </c>
      <c r="S399" s="6"/>
      <c r="T399" s="61"/>
      <c r="U399" s="61">
        <f t="shared" si="400"/>
        <v>0</v>
      </c>
      <c r="V399" s="7" t="str">
        <f t="shared" si="401"/>
        <v>NONE</v>
      </c>
      <c r="W399" s="56"/>
      <c r="X399" s="5"/>
      <c r="Y399" s="61">
        <f t="shared" si="383"/>
        <v>0</v>
      </c>
      <c r="Z399" s="61"/>
      <c r="AA399" s="1">
        <f t="shared" si="414"/>
        <v>0</v>
      </c>
      <c r="AB399" s="1">
        <f t="shared" si="402"/>
        <v>0</v>
      </c>
      <c r="AC399" s="1"/>
      <c r="AD399" s="65">
        <f t="shared" si="403"/>
        <v>0</v>
      </c>
      <c r="AE399" s="1"/>
      <c r="AF399" s="1">
        <f t="shared" si="404"/>
        <v>0</v>
      </c>
      <c r="AG399" s="1">
        <f>IF(AH399&gt;0,AH249:AH404,0)</f>
        <v>0</v>
      </c>
      <c r="AH399" s="1">
        <f t="shared" si="405"/>
        <v>0</v>
      </c>
      <c r="AJ399">
        <f t="shared" si="406"/>
        <v>0</v>
      </c>
      <c r="AK399">
        <f t="shared" si="407"/>
        <v>0</v>
      </c>
      <c r="AL399">
        <f t="shared" si="408"/>
        <v>0</v>
      </c>
      <c r="AM399">
        <f t="shared" si="409"/>
        <v>0</v>
      </c>
      <c r="AO399">
        <f t="shared" si="410"/>
        <v>0</v>
      </c>
      <c r="AP399">
        <f t="shared" si="411"/>
        <v>0</v>
      </c>
      <c r="AQ399">
        <f t="shared" si="412"/>
        <v>0</v>
      </c>
      <c r="AR399">
        <f t="shared" si="413"/>
        <v>0</v>
      </c>
    </row>
    <row r="400" spans="2:44" ht="23.25" x14ac:dyDescent="0.35">
      <c r="B400" s="82" t="s">
        <v>82</v>
      </c>
      <c r="C400" s="259" t="s">
        <v>1230</v>
      </c>
      <c r="D400" s="259"/>
      <c r="E400" t="s">
        <v>42</v>
      </c>
      <c r="F400">
        <f t="shared" si="380"/>
        <v>4</v>
      </c>
      <c r="G400">
        <f t="shared" si="364"/>
        <v>0</v>
      </c>
      <c r="H400" s="167" t="s">
        <v>1229</v>
      </c>
      <c r="I400" s="121">
        <v>4</v>
      </c>
      <c r="N400" s="4" t="s">
        <v>36</v>
      </c>
      <c r="P400" s="86">
        <v>0</v>
      </c>
      <c r="Q400" s="165">
        <f>P400*0.5</f>
        <v>0</v>
      </c>
      <c r="R400">
        <f t="shared" si="382"/>
        <v>0</v>
      </c>
      <c r="S400" s="6"/>
      <c r="T400" s="61"/>
      <c r="U400" s="61">
        <f t="shared" si="400"/>
        <v>0</v>
      </c>
      <c r="V400" s="7" t="str">
        <f t="shared" si="401"/>
        <v>NONE</v>
      </c>
      <c r="W400" s="56"/>
      <c r="X400" s="5"/>
      <c r="Y400" s="61">
        <f t="shared" si="383"/>
        <v>0</v>
      </c>
      <c r="Z400" s="61"/>
      <c r="AA400" s="1">
        <f t="shared" si="414"/>
        <v>0</v>
      </c>
      <c r="AB400" s="1">
        <f t="shared" si="402"/>
        <v>130</v>
      </c>
      <c r="AC400" s="1"/>
      <c r="AD400" s="65">
        <f t="shared" si="403"/>
        <v>-130</v>
      </c>
      <c r="AE400" s="1"/>
      <c r="AF400" s="1">
        <f t="shared" si="404"/>
        <v>0</v>
      </c>
      <c r="AG400" s="1">
        <f>IF(AH400&gt;0,AH250:AH400,0)</f>
        <v>0</v>
      </c>
      <c r="AH400" s="1">
        <f t="shared" si="405"/>
        <v>-130</v>
      </c>
      <c r="AJ400">
        <f t="shared" si="406"/>
        <v>0</v>
      </c>
      <c r="AK400">
        <f t="shared" si="407"/>
        <v>0</v>
      </c>
      <c r="AL400">
        <f t="shared" si="408"/>
        <v>0</v>
      </c>
      <c r="AM400">
        <f t="shared" si="409"/>
        <v>0</v>
      </c>
      <c r="AO400">
        <f t="shared" si="410"/>
        <v>0</v>
      </c>
      <c r="AP400">
        <f t="shared" si="411"/>
        <v>0</v>
      </c>
      <c r="AQ400">
        <f t="shared" si="412"/>
        <v>0</v>
      </c>
      <c r="AR400">
        <f t="shared" si="413"/>
        <v>0</v>
      </c>
    </row>
    <row r="401" spans="1:45" ht="15.6" customHeight="1" x14ac:dyDescent="0.25">
      <c r="B401" s="269" t="s">
        <v>1213</v>
      </c>
      <c r="C401" s="255" t="s">
        <v>97</v>
      </c>
      <c r="D401" s="255"/>
      <c r="E401" s="92" t="s">
        <v>899</v>
      </c>
      <c r="F401">
        <f t="shared" si="380"/>
        <v>0</v>
      </c>
      <c r="G401">
        <f t="shared" si="364"/>
        <v>1</v>
      </c>
      <c r="H401" t="s">
        <v>1212</v>
      </c>
      <c r="I401" s="121">
        <v>7</v>
      </c>
      <c r="K401" t="s">
        <v>98</v>
      </c>
      <c r="N401" s="4" t="s">
        <v>36</v>
      </c>
      <c r="P401" s="256">
        <v>1619.38</v>
      </c>
      <c r="Q401" s="165">
        <f>P401*0.5</f>
        <v>809.69</v>
      </c>
      <c r="R401">
        <f>IF(P401&gt;0,((P401+500)-Q401)+U401,0)</f>
        <v>1309.69</v>
      </c>
      <c r="S401" s="263">
        <v>43674</v>
      </c>
      <c r="T401" s="61" t="s">
        <v>1242</v>
      </c>
      <c r="U401" s="61">
        <f t="shared" si="400"/>
        <v>0</v>
      </c>
      <c r="V401" s="7" t="str">
        <f t="shared" si="401"/>
        <v>NONE</v>
      </c>
      <c r="W401" s="56"/>
      <c r="X401" s="183" t="s">
        <v>1224</v>
      </c>
      <c r="Y401" s="61">
        <f t="shared" si="383"/>
        <v>2119.38</v>
      </c>
      <c r="Z401" s="61"/>
      <c r="AA401" s="1">
        <f>IF(X401=$AA$1,R401-500,0)</f>
        <v>0</v>
      </c>
      <c r="AB401" s="1">
        <f t="shared" si="402"/>
        <v>130</v>
      </c>
      <c r="AC401" s="1"/>
      <c r="AD401" s="65">
        <f t="shared" si="403"/>
        <v>1489.38</v>
      </c>
      <c r="AE401" s="1"/>
      <c r="AF401" s="1">
        <f t="shared" si="404"/>
        <v>30</v>
      </c>
      <c r="AG401" s="1">
        <f>IF(AH401&gt;0,AH251:AH401,0)</f>
        <v>1459.38</v>
      </c>
      <c r="AH401" s="1">
        <f t="shared" si="405"/>
        <v>1459.38</v>
      </c>
      <c r="AJ401">
        <f t="shared" si="406"/>
        <v>0</v>
      </c>
      <c r="AK401">
        <f t="shared" si="407"/>
        <v>0</v>
      </c>
      <c r="AL401">
        <f t="shared" si="408"/>
        <v>0</v>
      </c>
      <c r="AM401">
        <f t="shared" si="409"/>
        <v>0</v>
      </c>
      <c r="AO401">
        <f t="shared" si="410"/>
        <v>0</v>
      </c>
      <c r="AP401">
        <f t="shared" si="411"/>
        <v>0</v>
      </c>
      <c r="AQ401">
        <f t="shared" si="412"/>
        <v>0</v>
      </c>
      <c r="AR401">
        <f t="shared" si="413"/>
        <v>0</v>
      </c>
    </row>
    <row r="402" spans="1:45" x14ac:dyDescent="0.25">
      <c r="B402" s="8"/>
      <c r="F402">
        <f>IF(E402=$B$12,I402,0)</f>
        <v>0</v>
      </c>
      <c r="G402">
        <f>IF(F402&gt;0,0,1)</f>
        <v>1</v>
      </c>
      <c r="H402" s="121"/>
      <c r="I402" s="121"/>
      <c r="N402" s="4" t="s">
        <v>36</v>
      </c>
      <c r="P402" s="86">
        <v>0</v>
      </c>
      <c r="Q402" s="165">
        <f>P402*0.5</f>
        <v>0</v>
      </c>
      <c r="R402">
        <f>IF(P402&gt;0,((P402+500)-Q402)+U402,0)</f>
        <v>0</v>
      </c>
      <c r="S402" s="6"/>
      <c r="T402" s="61"/>
      <c r="U402" s="61">
        <f>IF(V402=$AE$2,47,IF(V402=$AE$1,ROUND(((P402+500)*0.039),0),IF(V402=$AE$3,0)))</f>
        <v>0</v>
      </c>
      <c r="V402" s="7" t="str">
        <f>IF(W402=1,$AE$2,IF(W402=2,$AE$1,IF(AND(W402&lt;&gt;1,W402&lt;&gt;20)=TRUE,$AE$3)))</f>
        <v>NONE</v>
      </c>
      <c r="W402" s="56"/>
      <c r="X402" s="5"/>
      <c r="Y402" s="61">
        <f>R402+Q402</f>
        <v>0</v>
      </c>
      <c r="Z402" s="61"/>
      <c r="AA402" s="1">
        <f t="shared" ref="AA402:AA407" si="415">IF(X402=$AA$1,R402-500,0)</f>
        <v>0</v>
      </c>
      <c r="AB402" s="1">
        <f>IF(I402&gt;0,130,0)</f>
        <v>0</v>
      </c>
      <c r="AC402" s="1"/>
      <c r="AD402" s="65">
        <f>(P402+U402)-AB402</f>
        <v>0</v>
      </c>
      <c r="AE402" s="1"/>
      <c r="AF402" s="1">
        <f>IF(I402&gt;0,30*G402,0)</f>
        <v>0</v>
      </c>
      <c r="AG402" s="1">
        <f>IF(AH402&gt;0,AH256:AH402,0)</f>
        <v>0</v>
      </c>
      <c r="AH402" s="1">
        <f>AD402-AF402</f>
        <v>0</v>
      </c>
      <c r="AJ402">
        <f>IF(T402=1,P402-U402,0)</f>
        <v>0</v>
      </c>
      <c r="AK402">
        <f>IF(T402=2,P402-U402,0)</f>
        <v>0</v>
      </c>
      <c r="AL402">
        <f>IF(T402=3,P402-U402,0)</f>
        <v>0</v>
      </c>
      <c r="AM402">
        <f>IF(T402=4,P402-U402,0)</f>
        <v>0</v>
      </c>
      <c r="AO402">
        <f>IF(T402=1,P402-U402,0)</f>
        <v>0</v>
      </c>
      <c r="AP402">
        <f>IF(T402=2,P402-U402,0)</f>
        <v>0</v>
      </c>
      <c r="AQ402">
        <f>IF(T402=3,P402-U402,0)</f>
        <v>0</v>
      </c>
      <c r="AR402">
        <f>IF(T402=4,P402-U402,0)</f>
        <v>0</v>
      </c>
    </row>
    <row r="403" spans="1:45" x14ac:dyDescent="0.25">
      <c r="B403" s="253" t="s">
        <v>1222</v>
      </c>
      <c r="C403" t="s">
        <v>1221</v>
      </c>
      <c r="E403" t="s">
        <v>370</v>
      </c>
      <c r="F403">
        <f t="shared" si="380"/>
        <v>0</v>
      </c>
      <c r="G403">
        <f t="shared" si="364"/>
        <v>1</v>
      </c>
      <c r="H403" s="121" t="s">
        <v>1220</v>
      </c>
      <c r="I403" s="121">
        <v>6</v>
      </c>
      <c r="K403" t="s">
        <v>1223</v>
      </c>
      <c r="N403" s="4" t="s">
        <v>36</v>
      </c>
      <c r="P403" s="86">
        <v>1647.59</v>
      </c>
      <c r="Q403" s="165">
        <v>1647.59</v>
      </c>
      <c r="R403">
        <v>0</v>
      </c>
      <c r="S403" s="6" t="s">
        <v>370</v>
      </c>
      <c r="T403" s="271" t="s">
        <v>1256</v>
      </c>
      <c r="U403" s="61">
        <f t="shared" si="400"/>
        <v>0</v>
      </c>
      <c r="V403" s="7" t="str">
        <f t="shared" si="401"/>
        <v>NONE</v>
      </c>
      <c r="W403" s="56"/>
      <c r="X403" s="183" t="s">
        <v>1218</v>
      </c>
      <c r="Y403" s="61">
        <f t="shared" si="383"/>
        <v>1647.59</v>
      </c>
      <c r="Z403" s="61"/>
      <c r="AA403" s="1">
        <f t="shared" si="415"/>
        <v>0</v>
      </c>
      <c r="AB403" s="1">
        <f t="shared" si="402"/>
        <v>130</v>
      </c>
      <c r="AC403" s="1"/>
      <c r="AD403" s="65">
        <f t="shared" si="403"/>
        <v>1517.59</v>
      </c>
      <c r="AE403" s="1"/>
      <c r="AF403" s="1">
        <f t="shared" si="404"/>
        <v>30</v>
      </c>
      <c r="AG403" s="1">
        <f>IF(AH403&gt;0,AH257:AH403,0)</f>
        <v>1487.59</v>
      </c>
      <c r="AH403" s="1">
        <f t="shared" si="405"/>
        <v>1487.59</v>
      </c>
      <c r="AJ403">
        <f t="shared" si="406"/>
        <v>0</v>
      </c>
      <c r="AK403">
        <f t="shared" si="407"/>
        <v>0</v>
      </c>
      <c r="AL403">
        <f t="shared" si="408"/>
        <v>0</v>
      </c>
      <c r="AM403">
        <f t="shared" si="409"/>
        <v>0</v>
      </c>
      <c r="AO403">
        <f t="shared" si="410"/>
        <v>0</v>
      </c>
      <c r="AP403">
        <f t="shared" si="411"/>
        <v>0</v>
      </c>
      <c r="AQ403">
        <f t="shared" si="412"/>
        <v>0</v>
      </c>
      <c r="AR403">
        <f t="shared" si="413"/>
        <v>0</v>
      </c>
    </row>
    <row r="404" spans="1:45" ht="23.25" x14ac:dyDescent="0.35">
      <c r="B404" s="82" t="s">
        <v>82</v>
      </c>
      <c r="C404" s="260" t="s">
        <v>1230</v>
      </c>
      <c r="D404" s="260"/>
      <c r="E404" t="s">
        <v>42</v>
      </c>
      <c r="F404">
        <f t="shared" si="380"/>
        <v>3</v>
      </c>
      <c r="G404">
        <f t="shared" si="364"/>
        <v>0</v>
      </c>
      <c r="H404" s="167" t="s">
        <v>1225</v>
      </c>
      <c r="I404" s="121">
        <v>3</v>
      </c>
      <c r="N404" s="4" t="s">
        <v>36</v>
      </c>
      <c r="P404" s="86">
        <v>0</v>
      </c>
      <c r="Q404" s="165">
        <f>P404*0.5</f>
        <v>0</v>
      </c>
      <c r="R404">
        <f t="shared" si="382"/>
        <v>0</v>
      </c>
      <c r="S404" s="6"/>
      <c r="T404" s="61"/>
      <c r="U404" s="61">
        <f t="shared" si="400"/>
        <v>0</v>
      </c>
      <c r="V404" s="7" t="str">
        <f t="shared" si="401"/>
        <v>NONE</v>
      </c>
      <c r="W404" s="56"/>
      <c r="Y404" s="61">
        <f t="shared" si="383"/>
        <v>0</v>
      </c>
      <c r="Z404" s="61"/>
      <c r="AA404" s="1">
        <f t="shared" si="415"/>
        <v>0</v>
      </c>
      <c r="AB404" s="1">
        <f t="shared" si="402"/>
        <v>130</v>
      </c>
      <c r="AC404" s="1"/>
      <c r="AD404" s="65">
        <f t="shared" si="403"/>
        <v>-130</v>
      </c>
      <c r="AE404" s="1"/>
      <c r="AF404" s="1">
        <f t="shared" si="404"/>
        <v>0</v>
      </c>
      <c r="AG404" s="1">
        <f>IF(AH404&gt;0,AH258:AH404,0)</f>
        <v>0</v>
      </c>
      <c r="AH404" s="1">
        <f t="shared" si="405"/>
        <v>-130</v>
      </c>
      <c r="AJ404">
        <f t="shared" si="406"/>
        <v>0</v>
      </c>
      <c r="AK404">
        <f t="shared" si="407"/>
        <v>0</v>
      </c>
      <c r="AL404">
        <f t="shared" si="408"/>
        <v>0</v>
      </c>
      <c r="AM404">
        <f t="shared" si="409"/>
        <v>0</v>
      </c>
      <c r="AO404">
        <f t="shared" si="410"/>
        <v>0</v>
      </c>
      <c r="AP404">
        <f t="shared" si="411"/>
        <v>0</v>
      </c>
      <c r="AQ404">
        <f t="shared" si="412"/>
        <v>0</v>
      </c>
      <c r="AR404">
        <f t="shared" si="413"/>
        <v>0</v>
      </c>
    </row>
    <row r="405" spans="1:45" x14ac:dyDescent="0.25">
      <c r="B405" s="248" t="s">
        <v>1227</v>
      </c>
      <c r="C405" s="248" t="s">
        <v>929</v>
      </c>
      <c r="D405" s="248"/>
      <c r="E405" s="248"/>
      <c r="F405" s="248">
        <f>IF(E405=$B$12,I405,0)</f>
        <v>0</v>
      </c>
      <c r="G405" s="248">
        <f>IF(F405&gt;0,0,1)</f>
        <v>1</v>
      </c>
      <c r="H405" s="248" t="s">
        <v>1226</v>
      </c>
      <c r="I405" s="121">
        <v>7</v>
      </c>
      <c r="K405" t="s">
        <v>777</v>
      </c>
      <c r="N405" s="4" t="s">
        <v>36</v>
      </c>
      <c r="P405" s="258">
        <v>1379</v>
      </c>
      <c r="Q405" s="165">
        <f>P405+500</f>
        <v>1879</v>
      </c>
      <c r="R405">
        <f>IF(P405&gt;0,((P405+500)-Q405)+U405,0)</f>
        <v>0</v>
      </c>
      <c r="S405" s="198" t="s">
        <v>1228</v>
      </c>
      <c r="T405" s="61"/>
      <c r="U405" s="61">
        <f>IF(V405=$AE$2,47,IF(V405=$AE$1,ROUND(((P405+500)*0.039),0),IF(V405=$AE$3,0)))</f>
        <v>0</v>
      </c>
      <c r="V405" s="7" t="str">
        <f>IF(W405=1,$AE$2,IF(W405=2,$AE$1,IF(AND(W405&lt;&gt;1,W405&lt;&gt;20)=TRUE,$AE$3)))</f>
        <v>NONE</v>
      </c>
      <c r="W405" s="56"/>
      <c r="X405" s="5"/>
      <c r="Y405" s="61">
        <f>R405+Q405</f>
        <v>1879</v>
      </c>
      <c r="Z405" s="61"/>
      <c r="AA405" s="1">
        <f t="shared" si="415"/>
        <v>0</v>
      </c>
      <c r="AB405" s="1">
        <f>IF(I405&gt;0,130,0)</f>
        <v>130</v>
      </c>
      <c r="AC405" s="1"/>
      <c r="AD405" s="65">
        <f>(P405+U405)-AB405</f>
        <v>1249</v>
      </c>
      <c r="AE405" s="1"/>
      <c r="AF405" s="1">
        <f>IF(I405&gt;0,30*G405,0)</f>
        <v>30</v>
      </c>
      <c r="AG405" s="1">
        <f>IF(AH405&gt;0,AH256:AH405,0)</f>
        <v>1219</v>
      </c>
      <c r="AH405" s="1">
        <f>AD405-AF405</f>
        <v>1219</v>
      </c>
      <c r="AJ405">
        <f>IF(T405=1,P405-U405,0)</f>
        <v>0</v>
      </c>
      <c r="AK405">
        <f>IF(T405=2,P405-U405,0)</f>
        <v>0</v>
      </c>
      <c r="AL405">
        <f>IF(T405=3,P405-U405,0)</f>
        <v>0</v>
      </c>
      <c r="AM405">
        <f>IF(T405=4,P405-U405,0)</f>
        <v>0</v>
      </c>
      <c r="AO405">
        <f>IF(T405=1,P405-U405,0)</f>
        <v>0</v>
      </c>
      <c r="AP405">
        <f>IF(T405=2,P405-U405,0)</f>
        <v>0</v>
      </c>
      <c r="AQ405">
        <f>IF(T405=3,P405-U405,0)</f>
        <v>0</v>
      </c>
      <c r="AR405">
        <f>IF(T405=4,P405-U405,0)</f>
        <v>0</v>
      </c>
    </row>
    <row r="406" spans="1:45" x14ac:dyDescent="0.25">
      <c r="B406" s="248" t="s">
        <v>1199</v>
      </c>
      <c r="C406" s="249" t="s">
        <v>1200</v>
      </c>
      <c r="D406" s="249"/>
      <c r="E406" t="s">
        <v>1201</v>
      </c>
      <c r="F406" t="s">
        <v>1202</v>
      </c>
      <c r="G406">
        <f t="shared" si="364"/>
        <v>0</v>
      </c>
      <c r="H406" t="s">
        <v>1202</v>
      </c>
      <c r="I406" s="121">
        <v>30</v>
      </c>
      <c r="K406" t="s">
        <v>1203</v>
      </c>
      <c r="N406" s="4" t="s">
        <v>36</v>
      </c>
      <c r="P406" s="86">
        <v>8000</v>
      </c>
      <c r="Q406" s="165">
        <v>8000</v>
      </c>
      <c r="R406">
        <v>0</v>
      </c>
      <c r="S406" s="196" t="s">
        <v>1265</v>
      </c>
      <c r="T406" s="61"/>
      <c r="U406" s="61">
        <f t="shared" si="400"/>
        <v>0</v>
      </c>
      <c r="V406" s="7" t="str">
        <f t="shared" si="401"/>
        <v>NONE</v>
      </c>
      <c r="W406" s="56"/>
      <c r="X406" s="5" t="s">
        <v>1208</v>
      </c>
      <c r="Y406" s="61">
        <f t="shared" si="383"/>
        <v>8000</v>
      </c>
      <c r="Z406" s="61"/>
      <c r="AA406" s="1">
        <f t="shared" si="415"/>
        <v>0</v>
      </c>
      <c r="AB406" s="1">
        <f t="shared" si="402"/>
        <v>130</v>
      </c>
      <c r="AC406" s="1"/>
      <c r="AD406" s="65">
        <f t="shared" si="403"/>
        <v>7870</v>
      </c>
      <c r="AE406" s="1"/>
      <c r="AF406" s="1">
        <f t="shared" si="404"/>
        <v>0</v>
      </c>
      <c r="AG406" s="1">
        <f>IF(AH406&gt;0,AH257:AH406,0)</f>
        <v>7870</v>
      </c>
      <c r="AH406" s="1">
        <f t="shared" si="405"/>
        <v>7870</v>
      </c>
      <c r="AJ406">
        <f t="shared" si="406"/>
        <v>0</v>
      </c>
      <c r="AK406">
        <f t="shared" si="407"/>
        <v>0</v>
      </c>
      <c r="AL406">
        <f t="shared" si="408"/>
        <v>0</v>
      </c>
      <c r="AM406">
        <f t="shared" si="409"/>
        <v>0</v>
      </c>
      <c r="AO406">
        <f t="shared" si="410"/>
        <v>0</v>
      </c>
      <c r="AP406">
        <f t="shared" si="411"/>
        <v>0</v>
      </c>
      <c r="AQ406">
        <f t="shared" si="412"/>
        <v>0</v>
      </c>
      <c r="AR406">
        <f t="shared" si="413"/>
        <v>0</v>
      </c>
    </row>
    <row r="407" spans="1:45" x14ac:dyDescent="0.25">
      <c r="B407" s="83" t="s">
        <v>82</v>
      </c>
      <c r="C407" s="8"/>
      <c r="D407" s="8"/>
      <c r="E407" t="s">
        <v>42</v>
      </c>
      <c r="F407">
        <f t="shared" si="380"/>
        <v>5</v>
      </c>
      <c r="G407">
        <f t="shared" si="364"/>
        <v>0</v>
      </c>
      <c r="H407" s="245" t="s">
        <v>1189</v>
      </c>
      <c r="I407" s="121">
        <v>5</v>
      </c>
      <c r="N407" s="4" t="s">
        <v>36</v>
      </c>
      <c r="P407" s="86">
        <v>0</v>
      </c>
      <c r="Q407" s="165">
        <f>P407*0.5</f>
        <v>0</v>
      </c>
      <c r="R407">
        <f t="shared" si="382"/>
        <v>0</v>
      </c>
      <c r="S407" s="6"/>
      <c r="T407" s="61"/>
      <c r="U407" s="61">
        <f t="shared" si="400"/>
        <v>0</v>
      </c>
      <c r="V407" s="7" t="str">
        <f t="shared" si="401"/>
        <v>NONE</v>
      </c>
      <c r="W407" s="56"/>
      <c r="X407" s="5"/>
      <c r="Y407" s="61">
        <f t="shared" si="383"/>
        <v>0</v>
      </c>
      <c r="Z407" s="61"/>
      <c r="AA407" s="1">
        <f t="shared" si="415"/>
        <v>0</v>
      </c>
      <c r="AB407" s="1">
        <f t="shared" si="402"/>
        <v>130</v>
      </c>
      <c r="AC407" s="1"/>
      <c r="AD407" s="65">
        <f t="shared" si="403"/>
        <v>-130</v>
      </c>
      <c r="AE407" s="1"/>
      <c r="AF407" s="1">
        <f t="shared" si="404"/>
        <v>0</v>
      </c>
      <c r="AG407" s="1">
        <f>IF(AH407&gt;0,AH259:AH407,0)</f>
        <v>0</v>
      </c>
      <c r="AH407" s="1">
        <f t="shared" si="405"/>
        <v>-130</v>
      </c>
      <c r="AJ407">
        <f t="shared" si="406"/>
        <v>0</v>
      </c>
      <c r="AK407">
        <f t="shared" si="407"/>
        <v>0</v>
      </c>
      <c r="AL407">
        <f t="shared" si="408"/>
        <v>0</v>
      </c>
      <c r="AM407">
        <f t="shared" si="409"/>
        <v>0</v>
      </c>
      <c r="AO407">
        <f t="shared" si="410"/>
        <v>0</v>
      </c>
      <c r="AP407">
        <f t="shared" si="411"/>
        <v>0</v>
      </c>
      <c r="AQ407">
        <f t="shared" si="412"/>
        <v>0</v>
      </c>
      <c r="AR407">
        <f t="shared" si="413"/>
        <v>0</v>
      </c>
    </row>
    <row r="408" spans="1:45" x14ac:dyDescent="0.25">
      <c r="B408" s="277" t="s">
        <v>1267</v>
      </c>
      <c r="C408" s="249" t="s">
        <v>1263</v>
      </c>
      <c r="D408" s="249"/>
      <c r="E408" t="s">
        <v>1129</v>
      </c>
      <c r="F408">
        <f t="shared" si="380"/>
        <v>0</v>
      </c>
      <c r="G408">
        <f t="shared" si="364"/>
        <v>1</v>
      </c>
      <c r="H408" t="s">
        <v>1264</v>
      </c>
      <c r="I408" s="121">
        <v>5</v>
      </c>
      <c r="K408" t="s">
        <v>1262</v>
      </c>
      <c r="N408" s="4" t="s">
        <v>36</v>
      </c>
      <c r="P408" s="86">
        <v>1326.96</v>
      </c>
      <c r="Q408" s="165">
        <v>0</v>
      </c>
      <c r="R408">
        <f>IF(P408&gt;0,((P408+0)-Q408)+U408,0)</f>
        <v>1326.96</v>
      </c>
      <c r="S408" s="198" t="s">
        <v>1279</v>
      </c>
      <c r="T408" s="61"/>
      <c r="U408" s="61">
        <f t="shared" si="400"/>
        <v>0</v>
      </c>
      <c r="V408" s="7" t="str">
        <f t="shared" si="401"/>
        <v>NONE</v>
      </c>
      <c r="W408" s="56"/>
      <c r="X408" s="5" t="s">
        <v>1278</v>
      </c>
      <c r="Y408" s="61">
        <f>R408+Q408</f>
        <v>1326.96</v>
      </c>
      <c r="Z408" s="61"/>
      <c r="AA408" s="1">
        <f>IF(X408=$AA$1,R408-500, IF(S408="SITE",R408, IF(X408="A/D/F1/500",R408, 0)))</f>
        <v>0</v>
      </c>
      <c r="AB408" s="1">
        <f t="shared" si="402"/>
        <v>130</v>
      </c>
      <c r="AC408" s="1"/>
      <c r="AD408" s="65">
        <f t="shared" si="403"/>
        <v>1196.96</v>
      </c>
      <c r="AE408" s="1"/>
      <c r="AF408" s="1">
        <f t="shared" si="404"/>
        <v>30</v>
      </c>
      <c r="AG408" s="1">
        <f>IF(AH408&gt;0,AH259:AH408,0)</f>
        <v>1166.96</v>
      </c>
      <c r="AH408" s="1">
        <f t="shared" si="405"/>
        <v>1166.96</v>
      </c>
      <c r="AJ408">
        <f t="shared" si="406"/>
        <v>0</v>
      </c>
      <c r="AK408">
        <f t="shared" si="407"/>
        <v>0</v>
      </c>
      <c r="AL408">
        <f t="shared" si="408"/>
        <v>0</v>
      </c>
      <c r="AM408">
        <f t="shared" si="409"/>
        <v>0</v>
      </c>
      <c r="AO408">
        <f t="shared" si="410"/>
        <v>0</v>
      </c>
      <c r="AP408">
        <f t="shared" si="411"/>
        <v>0</v>
      </c>
      <c r="AQ408">
        <f t="shared" si="412"/>
        <v>0</v>
      </c>
      <c r="AR408">
        <f t="shared" si="413"/>
        <v>0</v>
      </c>
    </row>
    <row r="409" spans="1:45" ht="23.25" x14ac:dyDescent="0.35">
      <c r="B409" s="83" t="s">
        <v>82</v>
      </c>
      <c r="C409" s="260" t="s">
        <v>1230</v>
      </c>
      <c r="D409" s="260"/>
      <c r="E409" t="s">
        <v>42</v>
      </c>
      <c r="F409">
        <f t="shared" si="380"/>
        <v>8</v>
      </c>
      <c r="G409">
        <f t="shared" si="364"/>
        <v>0</v>
      </c>
      <c r="H409" s="167" t="s">
        <v>1231</v>
      </c>
      <c r="I409" s="121">
        <v>8</v>
      </c>
      <c r="N409" s="4"/>
      <c r="P409" s="86">
        <v>0</v>
      </c>
      <c r="Q409" s="165">
        <f>P409*0.5</f>
        <v>0</v>
      </c>
      <c r="R409">
        <f t="shared" si="382"/>
        <v>0</v>
      </c>
      <c r="S409" s="6"/>
      <c r="T409" s="61"/>
      <c r="U409" s="61">
        <f t="shared" si="400"/>
        <v>0</v>
      </c>
      <c r="V409" s="7" t="str">
        <f t="shared" si="401"/>
        <v>NONE</v>
      </c>
      <c r="W409" s="56"/>
      <c r="X409" s="5"/>
      <c r="Y409" s="61">
        <f t="shared" si="383"/>
        <v>0</v>
      </c>
      <c r="Z409" s="61"/>
      <c r="AA409" s="1">
        <f t="shared" si="414"/>
        <v>0</v>
      </c>
      <c r="AB409" s="1">
        <f t="shared" si="402"/>
        <v>130</v>
      </c>
      <c r="AC409" s="1"/>
      <c r="AD409" s="65">
        <f t="shared" si="403"/>
        <v>-130</v>
      </c>
      <c r="AE409" s="1"/>
      <c r="AF409" s="1">
        <f t="shared" si="404"/>
        <v>0</v>
      </c>
      <c r="AG409" s="1">
        <f>IF(AH409&gt;0,AH258:AH409,0)</f>
        <v>0</v>
      </c>
      <c r="AH409" s="1">
        <f t="shared" si="405"/>
        <v>-130</v>
      </c>
      <c r="AJ409">
        <f t="shared" si="406"/>
        <v>0</v>
      </c>
      <c r="AK409">
        <f t="shared" si="407"/>
        <v>0</v>
      </c>
      <c r="AL409">
        <f t="shared" si="408"/>
        <v>0</v>
      </c>
      <c r="AM409">
        <f t="shared" si="409"/>
        <v>0</v>
      </c>
      <c r="AO409">
        <f t="shared" si="410"/>
        <v>0</v>
      </c>
      <c r="AP409">
        <f t="shared" si="411"/>
        <v>0</v>
      </c>
      <c r="AQ409">
        <f t="shared" si="412"/>
        <v>0</v>
      </c>
      <c r="AR409">
        <f t="shared" si="413"/>
        <v>0</v>
      </c>
    </row>
    <row r="410" spans="1:45" x14ac:dyDescent="0.25">
      <c r="A410" s="40"/>
      <c r="B410" s="155">
        <f>COUNTIFS(E368:E409,"&lt;&gt;"&amp;B13)-COUNTIFS(E368:E409,"="&amp;B12)</f>
        <v>19</v>
      </c>
      <c r="C410" s="284" t="s">
        <v>1275</v>
      </c>
      <c r="D410" s="285">
        <f>COUNTIFS(E368:E409,"=FS")</f>
        <v>3</v>
      </c>
      <c r="E410" s="155">
        <f>SUM(F368:F409)</f>
        <v>79</v>
      </c>
      <c r="F410" s="40"/>
      <c r="G410" s="40"/>
      <c r="H410" s="283" t="s">
        <v>1274</v>
      </c>
      <c r="I410" s="53">
        <f>SUM(I368:I409)-SUM(F368:F409)</f>
        <v>159</v>
      </c>
      <c r="J410" s="53"/>
      <c r="K410" s="53">
        <f>ROUND(I410/7,0)</f>
        <v>23</v>
      </c>
      <c r="L410" s="52" t="s">
        <v>214</v>
      </c>
      <c r="M410" s="54" t="s">
        <v>216</v>
      </c>
      <c r="N410" s="123">
        <f>ROUND(AG410/K410,0)</f>
        <v>2170</v>
      </c>
      <c r="O410" s="40"/>
      <c r="P410" s="71">
        <f>SUM(P368:P409)</f>
        <v>52915.939999999995</v>
      </c>
      <c r="Q410" s="43"/>
      <c r="R410" s="69">
        <f>AA410</f>
        <v>0</v>
      </c>
      <c r="S410" s="68" t="s">
        <v>254</v>
      </c>
      <c r="T410" s="101"/>
      <c r="U410" s="62"/>
      <c r="V410" s="42"/>
      <c r="W410" s="42"/>
      <c r="X410" s="41"/>
      <c r="Y410" s="43"/>
      <c r="Z410" s="43">
        <f>AA410</f>
        <v>0</v>
      </c>
      <c r="AA410" s="43">
        <f>SUM(AA368:AA409)</f>
        <v>0</v>
      </c>
      <c r="AB410" s="43">
        <f>SUM(AB368:AB409)</f>
        <v>3640</v>
      </c>
      <c r="AC410" s="43">
        <f>AB410</f>
        <v>3640</v>
      </c>
      <c r="AD410" s="40"/>
      <c r="AE410" s="43"/>
      <c r="AF410" s="43">
        <f>SUM(AF368:AF409)</f>
        <v>540</v>
      </c>
      <c r="AG410" s="43">
        <f>SUM(AG368:AG409)</f>
        <v>49905.939999999995</v>
      </c>
      <c r="AH410" s="71">
        <f>SUM(AH368:AH409)</f>
        <v>48735.939999999995</v>
      </c>
      <c r="AI410" s="40">
        <f>AH410</f>
        <v>48735.939999999995</v>
      </c>
      <c r="AJ410" s="104">
        <f>SUM(AJ368:AJ409)</f>
        <v>0</v>
      </c>
      <c r="AK410" s="104">
        <f>SUM(AK368:AK409)</f>
        <v>0</v>
      </c>
      <c r="AL410" s="104">
        <f>SUM(AL368:AL409)</f>
        <v>0</v>
      </c>
      <c r="AM410" s="104">
        <f>SUM(AM368:AM409)</f>
        <v>0</v>
      </c>
      <c r="AN410" s="106">
        <f>SUM(AJ410:AM410)</f>
        <v>0</v>
      </c>
      <c r="AO410" s="104">
        <f>SUM(AO368:AO409)</f>
        <v>0</v>
      </c>
      <c r="AP410" s="104">
        <f>SUM(AP368:AP409)</f>
        <v>0</v>
      </c>
      <c r="AQ410" s="104">
        <f>SUM(AQ368:AQ409)</f>
        <v>0</v>
      </c>
      <c r="AR410" s="104">
        <f>SUM(AR368:AR409)</f>
        <v>0</v>
      </c>
      <c r="AS410" s="106">
        <f>SUM(AO410:AR410)</f>
        <v>0</v>
      </c>
    </row>
    <row r="411" spans="1:45" ht="21" customHeight="1" x14ac:dyDescent="0.35">
      <c r="A411" s="105"/>
      <c r="B411" s="122">
        <v>2020</v>
      </c>
      <c r="C411" s="107"/>
      <c r="D411" s="107"/>
      <c r="E411" s="105"/>
      <c r="F411" s="105"/>
      <c r="G411" s="105"/>
      <c r="H411" s="108"/>
      <c r="I411" s="109"/>
      <c r="J411" s="109"/>
      <c r="K411" s="110"/>
      <c r="L411" s="110"/>
      <c r="M411" s="108"/>
      <c r="N411" s="111"/>
      <c r="O411" s="105"/>
      <c r="P411" s="112"/>
      <c r="Q411" s="113"/>
      <c r="R411" s="114"/>
      <c r="S411" s="115"/>
      <c r="T411" s="116"/>
      <c r="U411" s="117"/>
      <c r="V411" s="118"/>
      <c r="W411" s="118"/>
      <c r="X411" s="288" t="s">
        <v>1285</v>
      </c>
      <c r="Y411" s="113"/>
      <c r="Z411" s="113"/>
      <c r="AA411" s="113"/>
      <c r="AB411" s="113"/>
      <c r="AC411" s="113"/>
      <c r="AD411" s="105"/>
      <c r="AE411" s="113"/>
      <c r="AF411" s="113"/>
      <c r="AG411" s="113"/>
      <c r="AH411" s="112"/>
      <c r="AI411" s="105"/>
      <c r="AJ411" s="96">
        <f>ROUNDUP(AJ410*0.05,0)</f>
        <v>0</v>
      </c>
      <c r="AK411" s="96">
        <f>ROUNDUP(AK410*0.05,0)</f>
        <v>0</v>
      </c>
      <c r="AL411" s="96">
        <f>ROUNDUP(AL410*0.05,0)</f>
        <v>0</v>
      </c>
      <c r="AM411" s="96">
        <f>ROUNDUP(AM410*0.05,0)</f>
        <v>0</v>
      </c>
      <c r="AN411" s="106">
        <f>SUM(AJ411:AM411)</f>
        <v>0</v>
      </c>
      <c r="AO411" s="96">
        <f>ROUNDUP(AO410*0.06,0)</f>
        <v>0</v>
      </c>
      <c r="AP411" s="96">
        <f>ROUNDUP(AP410*0.06,0)</f>
        <v>0</v>
      </c>
      <c r="AQ411" s="96">
        <f>ROUNDUP(AQ410*0.06,0)</f>
        <v>0</v>
      </c>
      <c r="AR411" s="96">
        <f>ROUNDUP(AR410*0.06,0)</f>
        <v>0</v>
      </c>
      <c r="AS411" s="106">
        <f>SUM(AO411:AR411)</f>
        <v>0</v>
      </c>
    </row>
    <row r="412" spans="1:45" ht="18.75" x14ac:dyDescent="0.35">
      <c r="B412" s="233"/>
      <c r="F412">
        <f t="shared" ref="F412:F451" si="416">IF(E412=$B$12,I412,0)</f>
        <v>0</v>
      </c>
      <c r="G412">
        <f t="shared" ref="G412:G451" si="417">IF(F412&gt;0,0,1)</f>
        <v>1</v>
      </c>
      <c r="I412" s="121"/>
      <c r="N412" s="4" t="s">
        <v>36</v>
      </c>
      <c r="P412" s="86">
        <v>0</v>
      </c>
      <c r="Q412" s="165">
        <v>0</v>
      </c>
      <c r="R412">
        <v>0</v>
      </c>
      <c r="S412" s="6"/>
      <c r="T412" s="61"/>
      <c r="U412" s="61">
        <f t="shared" ref="U412:U423" si="418">IF(V412=$AE$2,47,IF(V412=$AE$1,ROUND(((P412+500)*0.039),0),IF(V412=$AE$3,0)))</f>
        <v>0</v>
      </c>
      <c r="V412" s="7" t="str">
        <f t="shared" ref="V412:V419" si="419">IF(W412=1,$AE$2,IF(W412=2,$AE$1,IF(AND(W412&lt;&gt;1,W412&lt;&gt;20)=TRUE,$AE$3)))</f>
        <v>NONE</v>
      </c>
      <c r="W412" s="56"/>
      <c r="X412" s="5"/>
      <c r="Y412" s="61">
        <f>IF(S412="SITE",R412,R412+Q412)</f>
        <v>0</v>
      </c>
      <c r="Z412" s="61"/>
      <c r="AA412" s="1">
        <f t="shared" ref="AA412:AA451" si="420">IF(X412=$AA$1,R412-500, IF(S412="SITE",R412, IF(X412="A/D/F1/500",R412, 0)))</f>
        <v>0</v>
      </c>
      <c r="AB412" s="1">
        <f t="shared" ref="AB412:AB419" si="421">IF(I412&gt;0,130,0)</f>
        <v>0</v>
      </c>
      <c r="AC412" s="1"/>
      <c r="AD412" s="65">
        <f t="shared" ref="AD412:AD419" si="422">(P412+U412)-AB412</f>
        <v>0</v>
      </c>
      <c r="AE412" s="1"/>
      <c r="AF412" s="1">
        <f t="shared" ref="AF412:AF419" si="423">IF(I412&gt;0,30*G412,0)</f>
        <v>0</v>
      </c>
      <c r="AG412" s="1">
        <f>IF(AH412&gt;0,AH288:AH412,0)</f>
        <v>0</v>
      </c>
      <c r="AH412" s="1">
        <f t="shared" ref="AH412:AH417" si="424">AD412-AF412</f>
        <v>0</v>
      </c>
      <c r="AJ412">
        <f t="shared" ref="AJ412:AJ417" si="425">IF(T412=1,P412-U412,0)</f>
        <v>0</v>
      </c>
      <c r="AK412">
        <f t="shared" ref="AK412:AK417" si="426">IF(T412=2,P412-U412,0)</f>
        <v>0</v>
      </c>
      <c r="AL412">
        <f t="shared" ref="AL412:AL417" si="427">IF(T412=3,P412-U412,0)</f>
        <v>0</v>
      </c>
      <c r="AM412">
        <f t="shared" ref="AM412:AM417" si="428">IF(T412=4,P412-U412,0)</f>
        <v>0</v>
      </c>
      <c r="AO412">
        <f t="shared" ref="AO412:AO417" si="429">IF(T412=1,P412-U412,0)</f>
        <v>0</v>
      </c>
      <c r="AP412">
        <f t="shared" ref="AP412:AP417" si="430">IF(T412=2,P412-U412,0)</f>
        <v>0</v>
      </c>
      <c r="AQ412">
        <f t="shared" ref="AQ412:AQ417" si="431">IF(T412=3,P412-U412,0)</f>
        <v>0</v>
      </c>
      <c r="AR412">
        <f t="shared" ref="AR412:AR417" si="432">IF(T412=4,P412-U412,0)</f>
        <v>0</v>
      </c>
    </row>
    <row r="413" spans="1:45" x14ac:dyDescent="0.25">
      <c r="B413" s="282" t="s">
        <v>1253</v>
      </c>
      <c r="C413" s="282" t="s">
        <v>1254</v>
      </c>
      <c r="D413" s="282"/>
      <c r="E413" s="248" t="s">
        <v>370</v>
      </c>
      <c r="F413" s="248">
        <f t="shared" si="416"/>
        <v>0</v>
      </c>
      <c r="G413" s="248">
        <f t="shared" si="417"/>
        <v>1</v>
      </c>
      <c r="H413" s="248" t="s">
        <v>1252</v>
      </c>
      <c r="I413" s="250">
        <v>13</v>
      </c>
      <c r="J413" s="248"/>
      <c r="K413" s="248" t="s">
        <v>1255</v>
      </c>
      <c r="N413" s="4" t="s">
        <v>36</v>
      </c>
      <c r="P413" s="86">
        <v>4178.84</v>
      </c>
      <c r="Q413" s="165">
        <v>4178.84</v>
      </c>
      <c r="R413" s="176">
        <f>Q413</f>
        <v>4178.84</v>
      </c>
      <c r="S413" s="198" t="s">
        <v>1277</v>
      </c>
      <c r="T413" s="270"/>
      <c r="U413" s="61">
        <f t="shared" si="418"/>
        <v>0</v>
      </c>
      <c r="V413" s="7" t="str">
        <f t="shared" si="419"/>
        <v>NONE</v>
      </c>
      <c r="W413" s="56"/>
      <c r="X413" s="5"/>
      <c r="Y413" s="61">
        <f t="shared" ref="Y413:Y451" si="433">IF(S413="SITE",R413,R413+Q413)</f>
        <v>8357.68</v>
      </c>
      <c r="Z413" s="61"/>
      <c r="AA413" s="1">
        <f t="shared" si="420"/>
        <v>0</v>
      </c>
      <c r="AB413" s="1">
        <f t="shared" si="421"/>
        <v>130</v>
      </c>
      <c r="AC413" s="1"/>
      <c r="AD413" s="65">
        <f t="shared" si="422"/>
        <v>4048.84</v>
      </c>
      <c r="AE413" s="1"/>
      <c r="AF413" s="1">
        <f t="shared" si="423"/>
        <v>30</v>
      </c>
      <c r="AG413" s="1">
        <f>IF(AH413&gt;0,AH272:AH413,0)</f>
        <v>4018.84</v>
      </c>
      <c r="AH413" s="1">
        <f t="shared" si="424"/>
        <v>4018.84</v>
      </c>
      <c r="AJ413">
        <f t="shared" si="425"/>
        <v>0</v>
      </c>
      <c r="AK413">
        <f t="shared" si="426"/>
        <v>0</v>
      </c>
      <c r="AL413">
        <f t="shared" si="427"/>
        <v>0</v>
      </c>
      <c r="AM413">
        <f t="shared" si="428"/>
        <v>0</v>
      </c>
      <c r="AO413">
        <f t="shared" si="429"/>
        <v>0</v>
      </c>
      <c r="AP413">
        <f t="shared" si="430"/>
        <v>0</v>
      </c>
      <c r="AQ413">
        <f t="shared" si="431"/>
        <v>0</v>
      </c>
      <c r="AR413">
        <f t="shared" si="432"/>
        <v>0</v>
      </c>
    </row>
    <row r="414" spans="1:45" x14ac:dyDescent="0.25">
      <c r="B414" s="83" t="s">
        <v>82</v>
      </c>
      <c r="C414" s="8"/>
      <c r="D414" s="8"/>
      <c r="E414" t="s">
        <v>42</v>
      </c>
      <c r="F414">
        <f t="shared" si="416"/>
        <v>4</v>
      </c>
      <c r="G414">
        <f t="shared" si="417"/>
        <v>0</v>
      </c>
      <c r="H414" s="167" t="s">
        <v>1246</v>
      </c>
      <c r="I414" s="121">
        <v>4</v>
      </c>
      <c r="K414" t="s">
        <v>1153</v>
      </c>
      <c r="N414" s="4" t="s">
        <v>36</v>
      </c>
      <c r="P414" s="86">
        <v>0</v>
      </c>
      <c r="Q414" s="165">
        <v>0</v>
      </c>
      <c r="R414">
        <v>0</v>
      </c>
      <c r="S414" s="6"/>
      <c r="T414" s="61"/>
      <c r="U414" s="61">
        <f t="shared" si="418"/>
        <v>0</v>
      </c>
      <c r="V414" s="7" t="str">
        <f t="shared" si="419"/>
        <v>NONE</v>
      </c>
      <c r="W414" s="56"/>
      <c r="X414" s="5"/>
      <c r="Y414" s="61">
        <f t="shared" si="433"/>
        <v>0</v>
      </c>
      <c r="Z414" s="61"/>
      <c r="AA414" s="1">
        <f t="shared" si="420"/>
        <v>0</v>
      </c>
      <c r="AB414" s="1">
        <f t="shared" si="421"/>
        <v>130</v>
      </c>
      <c r="AC414" s="1"/>
      <c r="AD414" s="65">
        <f t="shared" si="422"/>
        <v>-130</v>
      </c>
      <c r="AE414" s="1"/>
      <c r="AF414" s="1">
        <f t="shared" si="423"/>
        <v>0</v>
      </c>
      <c r="AG414" s="1">
        <f>IF(AH414&gt;0,AH274:AH414,0)</f>
        <v>0</v>
      </c>
      <c r="AH414" s="1">
        <f t="shared" si="424"/>
        <v>-130</v>
      </c>
      <c r="AJ414">
        <f t="shared" si="425"/>
        <v>0</v>
      </c>
      <c r="AK414">
        <f t="shared" si="426"/>
        <v>0</v>
      </c>
      <c r="AL414">
        <f t="shared" si="427"/>
        <v>0</v>
      </c>
      <c r="AM414">
        <f t="shared" si="428"/>
        <v>0</v>
      </c>
      <c r="AO414">
        <f t="shared" si="429"/>
        <v>0</v>
      </c>
      <c r="AP414">
        <f t="shared" si="430"/>
        <v>0</v>
      </c>
      <c r="AQ414">
        <f t="shared" si="431"/>
        <v>0</v>
      </c>
      <c r="AR414">
        <f t="shared" si="432"/>
        <v>0</v>
      </c>
    </row>
    <row r="415" spans="1:45" x14ac:dyDescent="0.25">
      <c r="B415" s="253" t="s">
        <v>1197</v>
      </c>
      <c r="C415" s="78" t="s">
        <v>866</v>
      </c>
      <c r="D415" s="78"/>
      <c r="E415" s="92" t="s">
        <v>899</v>
      </c>
      <c r="F415">
        <f t="shared" si="416"/>
        <v>0</v>
      </c>
      <c r="G415">
        <f t="shared" si="417"/>
        <v>1</v>
      </c>
      <c r="H415" s="121" t="s">
        <v>1196</v>
      </c>
      <c r="I415" s="121">
        <v>24</v>
      </c>
      <c r="K415" t="s">
        <v>777</v>
      </c>
      <c r="N415" s="4" t="s">
        <v>36</v>
      </c>
      <c r="P415" s="208">
        <f>ROUNDDOWN(5300/18*24,0)</f>
        <v>7066</v>
      </c>
      <c r="Q415" s="165">
        <v>500</v>
      </c>
      <c r="R415">
        <v>7066</v>
      </c>
      <c r="S415" s="275">
        <v>43795</v>
      </c>
      <c r="T415" s="276" t="s">
        <v>1266</v>
      </c>
      <c r="U415" s="61">
        <f t="shared" si="418"/>
        <v>0</v>
      </c>
      <c r="V415" s="7" t="str">
        <f t="shared" si="419"/>
        <v>NONE</v>
      </c>
      <c r="W415" s="56"/>
      <c r="X415" s="5" t="s">
        <v>1261</v>
      </c>
      <c r="Y415" s="61">
        <f>IF(S415="SITE",R415,R415+Q415)</f>
        <v>7566</v>
      </c>
      <c r="Z415" s="61"/>
      <c r="AA415" s="1">
        <f>IF(X415=$AA$1,R415-500, IF(S415="SITE",R415, IF(X415="A/D/F1/500",R415, 0)))</f>
        <v>7066</v>
      </c>
      <c r="AB415" s="1">
        <f t="shared" si="421"/>
        <v>130</v>
      </c>
      <c r="AC415" s="1"/>
      <c r="AD415" s="65">
        <f t="shared" si="422"/>
        <v>6936</v>
      </c>
      <c r="AE415" s="1"/>
      <c r="AF415" s="1">
        <f t="shared" si="423"/>
        <v>30</v>
      </c>
      <c r="AG415" s="1">
        <f>IF(AH415&gt;0,AH273:AH426,0)</f>
        <v>6906</v>
      </c>
      <c r="AH415" s="1">
        <f t="shared" si="424"/>
        <v>6906</v>
      </c>
      <c r="AJ415">
        <f t="shared" si="425"/>
        <v>0</v>
      </c>
      <c r="AK415">
        <f t="shared" si="426"/>
        <v>0</v>
      </c>
      <c r="AL415">
        <f t="shared" si="427"/>
        <v>0</v>
      </c>
      <c r="AM415">
        <f t="shared" si="428"/>
        <v>0</v>
      </c>
      <c r="AO415">
        <f t="shared" si="429"/>
        <v>0</v>
      </c>
      <c r="AP415">
        <f t="shared" si="430"/>
        <v>0</v>
      </c>
      <c r="AQ415">
        <f t="shared" si="431"/>
        <v>0</v>
      </c>
      <c r="AR415">
        <f t="shared" si="432"/>
        <v>0</v>
      </c>
    </row>
    <row r="416" spans="1:45" x14ac:dyDescent="0.25">
      <c r="B416" s="121"/>
      <c r="C416" s="78"/>
      <c r="D416" s="78"/>
      <c r="F416">
        <f t="shared" si="416"/>
        <v>0</v>
      </c>
      <c r="G416">
        <f t="shared" si="417"/>
        <v>1</v>
      </c>
      <c r="I416" s="121"/>
      <c r="N416" s="4" t="s">
        <v>36</v>
      </c>
      <c r="P416" s="86">
        <v>0</v>
      </c>
      <c r="Q416" s="165">
        <v>0</v>
      </c>
      <c r="R416">
        <v>0</v>
      </c>
      <c r="S416" s="236"/>
      <c r="T416" s="61"/>
      <c r="U416" s="61">
        <f t="shared" si="418"/>
        <v>0</v>
      </c>
      <c r="V416" s="7" t="str">
        <f t="shared" si="419"/>
        <v>NONE</v>
      </c>
      <c r="W416" s="56"/>
      <c r="X416" s="5"/>
      <c r="Y416" s="61">
        <f t="shared" si="433"/>
        <v>0</v>
      </c>
      <c r="Z416" s="61"/>
      <c r="AA416" s="1">
        <f t="shared" si="420"/>
        <v>0</v>
      </c>
      <c r="AB416" s="1">
        <f t="shared" si="421"/>
        <v>0</v>
      </c>
      <c r="AC416" s="1"/>
      <c r="AD416" s="65">
        <f t="shared" si="422"/>
        <v>0</v>
      </c>
      <c r="AE416" s="1"/>
      <c r="AF416" s="1">
        <f t="shared" si="423"/>
        <v>0</v>
      </c>
      <c r="AG416" s="1">
        <f>IF(AH416&gt;0,AH274:AH416,0)</f>
        <v>0</v>
      </c>
      <c r="AH416" s="1">
        <f t="shared" si="424"/>
        <v>0</v>
      </c>
      <c r="AJ416">
        <f t="shared" si="425"/>
        <v>0</v>
      </c>
      <c r="AK416">
        <f t="shared" si="426"/>
        <v>0</v>
      </c>
      <c r="AL416">
        <f t="shared" si="427"/>
        <v>0</v>
      </c>
      <c r="AM416">
        <f t="shared" si="428"/>
        <v>0</v>
      </c>
      <c r="AO416">
        <f t="shared" si="429"/>
        <v>0</v>
      </c>
      <c r="AP416">
        <f t="shared" si="430"/>
        <v>0</v>
      </c>
      <c r="AQ416">
        <f t="shared" si="431"/>
        <v>0</v>
      </c>
      <c r="AR416">
        <f t="shared" si="432"/>
        <v>0</v>
      </c>
    </row>
    <row r="417" spans="2:44" ht="26.25" x14ac:dyDescent="0.4">
      <c r="B417" s="83" t="s">
        <v>82</v>
      </c>
      <c r="C417" s="261" t="s">
        <v>1230</v>
      </c>
      <c r="D417" s="261"/>
      <c r="E417" t="s">
        <v>42</v>
      </c>
      <c r="F417">
        <f t="shared" si="416"/>
        <v>4</v>
      </c>
      <c r="G417">
        <f t="shared" si="417"/>
        <v>0</v>
      </c>
      <c r="H417" s="245" t="s">
        <v>1232</v>
      </c>
      <c r="I417" s="121">
        <v>4</v>
      </c>
      <c r="K417" t="s">
        <v>1153</v>
      </c>
      <c r="M417" s="183"/>
      <c r="N417" s="4" t="s">
        <v>36</v>
      </c>
      <c r="P417" s="86">
        <v>0</v>
      </c>
      <c r="Q417" s="165">
        <v>0</v>
      </c>
      <c r="R417">
        <v>0</v>
      </c>
      <c r="S417" s="6"/>
      <c r="T417" s="61"/>
      <c r="U417" s="61">
        <f t="shared" si="418"/>
        <v>0</v>
      </c>
      <c r="V417" s="7" t="str">
        <f t="shared" si="419"/>
        <v>NONE</v>
      </c>
      <c r="W417" s="56"/>
      <c r="X417" s="5"/>
      <c r="Y417" s="61">
        <f t="shared" si="433"/>
        <v>0</v>
      </c>
      <c r="Z417" s="61"/>
      <c r="AA417" s="1">
        <f t="shared" si="420"/>
        <v>0</v>
      </c>
      <c r="AB417" s="1">
        <f t="shared" si="421"/>
        <v>130</v>
      </c>
      <c r="AC417" s="1"/>
      <c r="AD417" s="65">
        <f t="shared" si="422"/>
        <v>-130</v>
      </c>
      <c r="AE417" s="1"/>
      <c r="AF417" s="1">
        <f t="shared" si="423"/>
        <v>0</v>
      </c>
      <c r="AG417" s="1">
        <f>IF(AH417&gt;0,AH284:AH417,0)</f>
        <v>0</v>
      </c>
      <c r="AH417" s="1">
        <f t="shared" si="424"/>
        <v>-130</v>
      </c>
      <c r="AJ417">
        <f t="shared" si="425"/>
        <v>0</v>
      </c>
      <c r="AK417">
        <f t="shared" si="426"/>
        <v>0</v>
      </c>
      <c r="AL417">
        <f t="shared" si="427"/>
        <v>0</v>
      </c>
      <c r="AM417">
        <f t="shared" si="428"/>
        <v>0</v>
      </c>
      <c r="AO417">
        <f t="shared" si="429"/>
        <v>0</v>
      </c>
      <c r="AP417">
        <f t="shared" si="430"/>
        <v>0</v>
      </c>
      <c r="AQ417">
        <f t="shared" si="431"/>
        <v>0</v>
      </c>
      <c r="AR417">
        <f t="shared" si="432"/>
        <v>0</v>
      </c>
    </row>
    <row r="418" spans="2:44" x14ac:dyDescent="0.25">
      <c r="B418" s="184" t="s">
        <v>1211</v>
      </c>
      <c r="C418" s="254" t="s">
        <v>1210</v>
      </c>
      <c r="D418" s="254"/>
      <c r="E418" t="s">
        <v>370</v>
      </c>
      <c r="H418" t="s">
        <v>1209</v>
      </c>
      <c r="I418" s="121">
        <v>14</v>
      </c>
      <c r="K418" s="227" t="s">
        <v>615</v>
      </c>
      <c r="N418" s="4" t="s">
        <v>36</v>
      </c>
      <c r="P418" s="86">
        <v>4617.82</v>
      </c>
      <c r="Q418" s="165">
        <f>P418</f>
        <v>4617.82</v>
      </c>
      <c r="R418" s="176">
        <f>Q418</f>
        <v>4617.82</v>
      </c>
      <c r="S418" s="198" t="s">
        <v>18</v>
      </c>
      <c r="T418" s="61"/>
      <c r="U418" s="61">
        <f t="shared" si="418"/>
        <v>0</v>
      </c>
      <c r="V418" s="7" t="str">
        <f t="shared" si="419"/>
        <v>NONE</v>
      </c>
      <c r="W418" s="56"/>
      <c r="X418" s="5" t="s">
        <v>1286</v>
      </c>
      <c r="Y418" s="61">
        <f t="shared" si="433"/>
        <v>4617.82</v>
      </c>
      <c r="Z418" s="61"/>
      <c r="AA418" s="1">
        <f t="shared" si="420"/>
        <v>4617.82</v>
      </c>
      <c r="AB418" s="1">
        <f t="shared" si="421"/>
        <v>130</v>
      </c>
      <c r="AC418" s="1"/>
      <c r="AD418" s="65">
        <f t="shared" si="422"/>
        <v>4487.82</v>
      </c>
      <c r="AE418" s="1"/>
      <c r="AF418" s="1">
        <f t="shared" si="423"/>
        <v>0</v>
      </c>
      <c r="AG418" s="1">
        <f>IF(AH418&gt;0,AH263:AH418,0)</f>
        <v>4487.82</v>
      </c>
      <c r="AH418" s="1">
        <f t="shared" ref="AH418:AH424" si="434">AD418-AF418</f>
        <v>4487.82</v>
      </c>
      <c r="AJ418">
        <f t="shared" ref="AJ418:AJ424" si="435">IF(T418=1,P418-U418,0)</f>
        <v>0</v>
      </c>
      <c r="AK418">
        <f t="shared" ref="AK418:AK424" si="436">IF(T418=2,P418-U418,0)</f>
        <v>0</v>
      </c>
      <c r="AL418">
        <f t="shared" ref="AL418:AL424" si="437">IF(T418=3,P418-U418,0)</f>
        <v>0</v>
      </c>
      <c r="AM418">
        <f t="shared" ref="AM418:AM424" si="438">IF(T418=4,P418-U418,0)</f>
        <v>0</v>
      </c>
      <c r="AO418">
        <f t="shared" ref="AO418:AO424" si="439">IF(T418=1,P418-U418,0)</f>
        <v>0</v>
      </c>
      <c r="AP418">
        <f t="shared" ref="AP418:AP424" si="440">IF(T418=2,P418-U418,0)</f>
        <v>0</v>
      </c>
      <c r="AQ418">
        <f t="shared" ref="AQ418:AQ424" si="441">IF(T418=3,P418-U418,0)</f>
        <v>0</v>
      </c>
      <c r="AR418">
        <f t="shared" ref="AR418:AR424" si="442">IF(T418=4,P418-U418,0)</f>
        <v>0</v>
      </c>
    </row>
    <row r="419" spans="2:44" x14ac:dyDescent="0.25">
      <c r="B419" s="244"/>
      <c r="C419" s="78"/>
      <c r="D419" s="78"/>
      <c r="F419">
        <f t="shared" si="416"/>
        <v>0</v>
      </c>
      <c r="G419">
        <f t="shared" si="417"/>
        <v>1</v>
      </c>
      <c r="H419" s="121"/>
      <c r="I419" s="121"/>
      <c r="N419" s="4" t="s">
        <v>36</v>
      </c>
      <c r="P419" s="86">
        <v>0</v>
      </c>
      <c r="Q419" s="165">
        <v>0</v>
      </c>
      <c r="R419">
        <v>0</v>
      </c>
      <c r="S419" s="6"/>
      <c r="T419" s="61"/>
      <c r="U419" s="61">
        <f t="shared" si="418"/>
        <v>0</v>
      </c>
      <c r="V419" s="7" t="str">
        <f t="shared" si="419"/>
        <v>NONE</v>
      </c>
      <c r="W419" s="56"/>
      <c r="X419" s="5"/>
      <c r="Y419" s="61">
        <f t="shared" si="433"/>
        <v>0</v>
      </c>
      <c r="Z419" s="61"/>
      <c r="AA419" s="1">
        <f t="shared" si="420"/>
        <v>0</v>
      </c>
      <c r="AB419" s="1">
        <f t="shared" si="421"/>
        <v>0</v>
      </c>
      <c r="AC419" s="1"/>
      <c r="AD419" s="65">
        <f t="shared" si="422"/>
        <v>0</v>
      </c>
      <c r="AE419" s="1"/>
      <c r="AF419" s="1">
        <f t="shared" si="423"/>
        <v>0</v>
      </c>
      <c r="AG419" s="1">
        <f>IF(AH419&gt;0,AH277:AH431,0)</f>
        <v>0</v>
      </c>
      <c r="AH419" s="1">
        <f t="shared" si="434"/>
        <v>0</v>
      </c>
      <c r="AJ419">
        <f t="shared" si="435"/>
        <v>0</v>
      </c>
      <c r="AK419">
        <f t="shared" si="436"/>
        <v>0</v>
      </c>
      <c r="AL419">
        <f t="shared" si="437"/>
        <v>0</v>
      </c>
      <c r="AM419">
        <f t="shared" si="438"/>
        <v>0</v>
      </c>
      <c r="AO419">
        <f t="shared" si="439"/>
        <v>0</v>
      </c>
      <c r="AP419">
        <f t="shared" si="440"/>
        <v>0</v>
      </c>
      <c r="AQ419">
        <f t="shared" si="441"/>
        <v>0</v>
      </c>
      <c r="AR419">
        <f t="shared" si="442"/>
        <v>0</v>
      </c>
    </row>
    <row r="420" spans="2:44" x14ac:dyDescent="0.25">
      <c r="B420" s="248" t="s">
        <v>1251</v>
      </c>
      <c r="C420" s="249" t="s">
        <v>1107</v>
      </c>
      <c r="D420" s="249"/>
      <c r="E420" s="287" t="s">
        <v>899</v>
      </c>
      <c r="F420" s="248">
        <v>0</v>
      </c>
      <c r="G420" s="248">
        <v>1</v>
      </c>
      <c r="H420" s="278" t="s">
        <v>1250</v>
      </c>
      <c r="I420" s="121">
        <v>14</v>
      </c>
      <c r="J420" s="48"/>
      <c r="K420" t="s">
        <v>1269</v>
      </c>
      <c r="M420" s="51"/>
      <c r="N420" s="4" t="s">
        <v>36</v>
      </c>
      <c r="P420" s="86">
        <v>5102.58</v>
      </c>
      <c r="Q420" s="165">
        <f>P420/2</f>
        <v>2551.29</v>
      </c>
      <c r="R420" s="176">
        <f>Q420+500</f>
        <v>3051.29</v>
      </c>
      <c r="S420" s="279">
        <v>43484</v>
      </c>
      <c r="T420" s="264" t="s">
        <v>1268</v>
      </c>
      <c r="U420" s="61">
        <f t="shared" si="418"/>
        <v>0</v>
      </c>
      <c r="V420" s="7" t="str">
        <f>IF(W420=1,$AE$2,IF(W420=2,$AE$1,IF(AND(W420&lt;&gt;1,W420&lt;&gt;20)=TRUE,$AE$3)))</f>
        <v>NONE</v>
      </c>
      <c r="W420" s="56"/>
      <c r="X420" s="5" t="s">
        <v>162</v>
      </c>
      <c r="Y420" s="61">
        <f t="shared" si="433"/>
        <v>5602.58</v>
      </c>
      <c r="Z420" s="61"/>
      <c r="AA420" s="1">
        <f>IF(X420=$AA$1,R420-500, IF(S420="SITE",R420, IF(X420="A/D/F1/500",R420, 0)))</f>
        <v>0</v>
      </c>
      <c r="AB420" s="1">
        <f>IF(I420&gt;0,130,0)</f>
        <v>130</v>
      </c>
      <c r="AC420" s="1"/>
      <c r="AD420" s="65">
        <f>(P420+U420)-AB420</f>
        <v>4972.58</v>
      </c>
      <c r="AE420" s="1"/>
      <c r="AF420" s="1">
        <f>IF(I420&gt;0,30*G420,0)</f>
        <v>30</v>
      </c>
      <c r="AG420" s="1">
        <f>IF(AH420&gt;0,AH286:AH420,0)</f>
        <v>4942.58</v>
      </c>
      <c r="AH420" s="1">
        <f t="shared" si="434"/>
        <v>4942.58</v>
      </c>
      <c r="AJ420">
        <f t="shared" si="435"/>
        <v>0</v>
      </c>
      <c r="AK420">
        <f t="shared" si="436"/>
        <v>0</v>
      </c>
      <c r="AL420">
        <f t="shared" si="437"/>
        <v>0</v>
      </c>
      <c r="AM420">
        <f t="shared" si="438"/>
        <v>0</v>
      </c>
      <c r="AO420">
        <f t="shared" si="439"/>
        <v>0</v>
      </c>
      <c r="AP420">
        <f t="shared" si="440"/>
        <v>0</v>
      </c>
      <c r="AQ420">
        <f t="shared" si="441"/>
        <v>0</v>
      </c>
      <c r="AR420">
        <f t="shared" si="442"/>
        <v>0</v>
      </c>
    </row>
    <row r="421" spans="2:44" ht="16.5" x14ac:dyDescent="0.3">
      <c r="B421" s="291" t="s">
        <v>1295</v>
      </c>
      <c r="C421" s="248" t="s">
        <v>1259</v>
      </c>
      <c r="D421" s="248"/>
      <c r="E421" s="92" t="s">
        <v>899</v>
      </c>
      <c r="F421">
        <f t="shared" si="416"/>
        <v>0</v>
      </c>
      <c r="G421">
        <f t="shared" si="417"/>
        <v>1</v>
      </c>
      <c r="H421" t="s">
        <v>1287</v>
      </c>
      <c r="I421" s="121">
        <v>14</v>
      </c>
      <c r="K421" t="s">
        <v>1288</v>
      </c>
      <c r="N421" s="4" t="s">
        <v>36</v>
      </c>
      <c r="P421" s="208">
        <f>Q421+R421</f>
        <v>4979</v>
      </c>
      <c r="Q421" s="165">
        <v>2240</v>
      </c>
      <c r="R421" s="176">
        <f>2239+500</f>
        <v>2739</v>
      </c>
      <c r="S421" s="289">
        <v>43856</v>
      </c>
      <c r="T421" s="264" t="s">
        <v>1268</v>
      </c>
      <c r="U421" s="61">
        <f t="shared" si="418"/>
        <v>0</v>
      </c>
      <c r="V421" s="7" t="str">
        <f>IF(W421=1,$AE$2,IF(W421=2,$AE$1,IF(AND(W421&lt;&gt;1,W421&lt;&gt;20)=TRUE,$AE$3)))</f>
        <v>NONE</v>
      </c>
      <c r="W421" s="56"/>
      <c r="X421" s="280" t="s">
        <v>1163</v>
      </c>
      <c r="Y421" s="61">
        <f t="shared" si="433"/>
        <v>4979</v>
      </c>
      <c r="Z421" s="61"/>
      <c r="AA421" s="1">
        <f t="shared" si="420"/>
        <v>0</v>
      </c>
      <c r="AB421" s="1">
        <f>IF(I421&gt;0,130,0)</f>
        <v>130</v>
      </c>
      <c r="AC421" s="1"/>
      <c r="AD421" s="65">
        <f>(P421+U421)-AB421</f>
        <v>4849</v>
      </c>
      <c r="AE421" s="1"/>
      <c r="AF421" s="1">
        <f>IF(I421&gt;0,30*G421,0)</f>
        <v>30</v>
      </c>
      <c r="AG421" s="1">
        <f>IF(AH421&gt;0,AH278:AH421,0)</f>
        <v>4819</v>
      </c>
      <c r="AH421" s="1">
        <f t="shared" si="434"/>
        <v>4819</v>
      </c>
      <c r="AJ421">
        <f t="shared" si="435"/>
        <v>0</v>
      </c>
      <c r="AK421">
        <f t="shared" si="436"/>
        <v>0</v>
      </c>
      <c r="AL421">
        <f t="shared" si="437"/>
        <v>0</v>
      </c>
      <c r="AM421">
        <f t="shared" si="438"/>
        <v>0</v>
      </c>
      <c r="AO421">
        <f t="shared" si="439"/>
        <v>0</v>
      </c>
      <c r="AP421">
        <f t="shared" si="440"/>
        <v>0</v>
      </c>
      <c r="AQ421">
        <f t="shared" si="441"/>
        <v>0</v>
      </c>
      <c r="AR421">
        <f t="shared" si="442"/>
        <v>0</v>
      </c>
    </row>
    <row r="422" spans="2:44" ht="14.1" customHeight="1" x14ac:dyDescent="0.25">
      <c r="D422" s="252"/>
      <c r="E422" s="92"/>
      <c r="F422">
        <f t="shared" si="416"/>
        <v>0</v>
      </c>
      <c r="G422">
        <f t="shared" si="417"/>
        <v>1</v>
      </c>
      <c r="H422" s="227"/>
      <c r="I422" s="121"/>
      <c r="N422" s="4" t="s">
        <v>36</v>
      </c>
      <c r="P422" s="86">
        <v>0</v>
      </c>
      <c r="Q422" s="165">
        <v>0</v>
      </c>
      <c r="R422">
        <v>0</v>
      </c>
      <c r="S422" s="289"/>
      <c r="T422" s="264"/>
      <c r="U422" s="61">
        <f t="shared" si="418"/>
        <v>0</v>
      </c>
      <c r="V422" s="7" t="str">
        <f>IF(W422=1,$AE$2,IF(W422=2,$AE$1,IF(AND(W422&lt;&gt;1,W422&lt;&gt;20)=TRUE,$AE$3)))</f>
        <v>NONE</v>
      </c>
      <c r="W422" s="56"/>
      <c r="X422" s="5"/>
      <c r="Y422" s="61">
        <f t="shared" si="433"/>
        <v>0</v>
      </c>
      <c r="Z422" s="61"/>
      <c r="AA422" s="1">
        <f t="shared" si="420"/>
        <v>0</v>
      </c>
      <c r="AB422" s="1">
        <f>IF(I422&gt;0,130,0)</f>
        <v>0</v>
      </c>
      <c r="AC422" s="1"/>
      <c r="AD422" s="65">
        <f>(P422+U422)-AB422</f>
        <v>0</v>
      </c>
      <c r="AE422" s="1"/>
      <c r="AF422" s="1">
        <f>IF(I422&gt;0,30*G422,0)</f>
        <v>0</v>
      </c>
      <c r="AG422" s="1">
        <f>IF(AH422&gt;0,AH280:AH442,0)</f>
        <v>0</v>
      </c>
      <c r="AH422" s="1">
        <f t="shared" si="434"/>
        <v>0</v>
      </c>
      <c r="AJ422">
        <f t="shared" si="435"/>
        <v>0</v>
      </c>
      <c r="AK422">
        <f t="shared" si="436"/>
        <v>0</v>
      </c>
      <c r="AL422">
        <f t="shared" si="437"/>
        <v>0</v>
      </c>
      <c r="AM422">
        <f t="shared" si="438"/>
        <v>0</v>
      </c>
      <c r="AO422">
        <f t="shared" si="439"/>
        <v>0</v>
      </c>
      <c r="AP422">
        <f t="shared" si="440"/>
        <v>0</v>
      </c>
      <c r="AQ422">
        <f t="shared" si="441"/>
        <v>0</v>
      </c>
      <c r="AR422">
        <f t="shared" si="442"/>
        <v>0</v>
      </c>
    </row>
    <row r="423" spans="2:44" ht="18.75" x14ac:dyDescent="0.3">
      <c r="B423" s="83" t="s">
        <v>1270</v>
      </c>
      <c r="C423" s="281" t="s">
        <v>1230</v>
      </c>
      <c r="D423" s="281"/>
      <c r="E423" t="s">
        <v>42</v>
      </c>
      <c r="F423">
        <f t="shared" si="416"/>
        <v>10</v>
      </c>
      <c r="G423">
        <f t="shared" si="417"/>
        <v>0</v>
      </c>
      <c r="H423" s="167" t="s">
        <v>1271</v>
      </c>
      <c r="I423" s="121">
        <v>10</v>
      </c>
      <c r="K423" t="s">
        <v>1153</v>
      </c>
      <c r="N423" s="4" t="s">
        <v>36</v>
      </c>
      <c r="P423" s="86">
        <v>0</v>
      </c>
      <c r="Q423" s="165">
        <v>0</v>
      </c>
      <c r="R423">
        <v>0</v>
      </c>
      <c r="S423" s="6"/>
      <c r="T423" s="61"/>
      <c r="U423" s="61">
        <f t="shared" si="418"/>
        <v>0</v>
      </c>
      <c r="V423" s="7" t="str">
        <f>IF(W423=1,$AE$2,IF(W423=2,$AE$1,IF(AND(W423&lt;&gt;1,W423&lt;&gt;20)=TRUE,$AE$3)))</f>
        <v>NONE</v>
      </c>
      <c r="W423" s="56"/>
      <c r="X423" s="5"/>
      <c r="Y423" s="61">
        <f t="shared" si="433"/>
        <v>0</v>
      </c>
      <c r="Z423" s="61"/>
      <c r="AA423" s="1">
        <f t="shared" si="420"/>
        <v>0</v>
      </c>
      <c r="AB423" s="1">
        <f>IF(I423&gt;0,130,0)</f>
        <v>130</v>
      </c>
      <c r="AC423" s="1"/>
      <c r="AD423" s="65">
        <f>(P423+U423)-AB423</f>
        <v>-130</v>
      </c>
      <c r="AE423" s="1"/>
      <c r="AF423" s="1">
        <f>IF(I423&gt;0,30*G423,0)</f>
        <v>0</v>
      </c>
      <c r="AG423" s="1">
        <f>IF(AH423&gt;0,AH281:AH423,0)</f>
        <v>0</v>
      </c>
      <c r="AH423" s="1">
        <f t="shared" si="434"/>
        <v>-130</v>
      </c>
      <c r="AJ423">
        <f t="shared" si="435"/>
        <v>0</v>
      </c>
      <c r="AK423">
        <f t="shared" si="436"/>
        <v>0</v>
      </c>
      <c r="AL423">
        <f t="shared" si="437"/>
        <v>0</v>
      </c>
      <c r="AM423">
        <f t="shared" si="438"/>
        <v>0</v>
      </c>
      <c r="AO423">
        <f t="shared" si="439"/>
        <v>0</v>
      </c>
      <c r="AP423">
        <f t="shared" si="440"/>
        <v>0</v>
      </c>
      <c r="AQ423">
        <f t="shared" si="441"/>
        <v>0</v>
      </c>
      <c r="AR423">
        <f t="shared" si="442"/>
        <v>0</v>
      </c>
    </row>
    <row r="424" spans="2:44" x14ac:dyDescent="0.25">
      <c r="B424" s="253"/>
      <c r="C424" s="248"/>
      <c r="D424" s="248"/>
      <c r="E424" s="248"/>
      <c r="F424" s="248">
        <f t="shared" si="416"/>
        <v>0</v>
      </c>
      <c r="G424" s="248">
        <f t="shared" si="417"/>
        <v>1</v>
      </c>
      <c r="H424" s="278"/>
      <c r="I424" s="121"/>
      <c r="J424" s="48"/>
      <c r="M424" s="180"/>
      <c r="N424" s="4" t="s">
        <v>36</v>
      </c>
      <c r="P424" s="86">
        <v>0</v>
      </c>
      <c r="Q424" s="165">
        <v>0</v>
      </c>
      <c r="R424">
        <v>0</v>
      </c>
      <c r="S424" s="198"/>
      <c r="T424" s="290"/>
      <c r="U424" s="61">
        <f>IF(V424=$AE$2,47,IF(V424=$AE$1,ROUND(((P424+500)*0.039),0),IF(V424=$AE$3,0)))</f>
        <v>0</v>
      </c>
      <c r="V424" s="7" t="str">
        <f>IF(W424=1,$AE$2,IF(W424=2,$AE$1,IF(AND(W424&lt;&gt;1,W424&lt;&gt;20)=TRUE,$AE$3)))</f>
        <v>NONE</v>
      </c>
      <c r="W424" s="56"/>
      <c r="X424" s="280"/>
      <c r="Y424" s="61">
        <f t="shared" si="433"/>
        <v>0</v>
      </c>
      <c r="Z424" s="61"/>
      <c r="AA424" s="1">
        <f t="shared" si="420"/>
        <v>0</v>
      </c>
      <c r="AB424" s="1">
        <f>IF(I424&gt;0,130,0)</f>
        <v>0</v>
      </c>
      <c r="AC424" s="1"/>
      <c r="AD424" s="65">
        <f>(P424+U424)-AB424</f>
        <v>0</v>
      </c>
      <c r="AE424" s="1"/>
      <c r="AF424" s="1">
        <f>IF(I424&gt;0,30*G424,0)</f>
        <v>0</v>
      </c>
      <c r="AG424" s="1">
        <f>IF(AH424&gt;0,AH287:AH424,0)</f>
        <v>0</v>
      </c>
      <c r="AH424" s="1">
        <f t="shared" si="434"/>
        <v>0</v>
      </c>
      <c r="AJ424">
        <f t="shared" si="435"/>
        <v>0</v>
      </c>
      <c r="AK424">
        <f t="shared" si="436"/>
        <v>0</v>
      </c>
      <c r="AL424">
        <f t="shared" si="437"/>
        <v>0</v>
      </c>
      <c r="AM424">
        <f t="shared" si="438"/>
        <v>0</v>
      </c>
      <c r="AO424">
        <f t="shared" si="439"/>
        <v>0</v>
      </c>
      <c r="AP424">
        <f t="shared" si="440"/>
        <v>0</v>
      </c>
      <c r="AQ424">
        <f t="shared" si="441"/>
        <v>0</v>
      </c>
      <c r="AR424">
        <f t="shared" si="442"/>
        <v>0</v>
      </c>
    </row>
    <row r="425" spans="2:44" x14ac:dyDescent="0.25">
      <c r="B425" s="244"/>
      <c r="C425" s="78"/>
      <c r="D425" s="78"/>
      <c r="F425">
        <f t="shared" si="416"/>
        <v>0</v>
      </c>
      <c r="G425">
        <f t="shared" si="417"/>
        <v>1</v>
      </c>
      <c r="I425" s="121"/>
      <c r="N425" s="4" t="s">
        <v>36</v>
      </c>
      <c r="P425" s="86">
        <v>0</v>
      </c>
      <c r="Q425" s="165">
        <v>0</v>
      </c>
      <c r="R425">
        <v>0</v>
      </c>
      <c r="S425" s="6"/>
      <c r="T425" s="61"/>
      <c r="U425" s="61">
        <f t="shared" ref="U425:U431" si="443">IF(V425=$AE$2,47,IF(V425=$AE$1,ROUND(((P425+500)*0.039),0),IF(V425=$AE$3,0)))</f>
        <v>0</v>
      </c>
      <c r="V425" s="7" t="str">
        <f t="shared" ref="V425:V431" si="444">IF(W425=1,$AE$2,IF(W425=2,$AE$1,IF(AND(W425&lt;&gt;1,W425&lt;&gt;20)=TRUE,$AE$3)))</f>
        <v>NONE</v>
      </c>
      <c r="W425" s="56"/>
      <c r="X425" s="5"/>
      <c r="Y425" s="61">
        <f t="shared" si="433"/>
        <v>0</v>
      </c>
      <c r="Z425" s="61"/>
      <c r="AA425" s="1">
        <f t="shared" si="420"/>
        <v>0</v>
      </c>
      <c r="AB425" s="1">
        <f t="shared" ref="AB425:AB431" si="445">IF(I425&gt;0,130,0)</f>
        <v>0</v>
      </c>
      <c r="AC425" s="1"/>
      <c r="AD425" s="65">
        <f t="shared" ref="AD425:AD431" si="446">(P425+U425)-AB425</f>
        <v>0</v>
      </c>
      <c r="AE425" s="1"/>
      <c r="AF425" s="1">
        <f t="shared" ref="AF425:AF431" si="447">IF(I425&gt;0,30*G425,0)</f>
        <v>0</v>
      </c>
      <c r="AG425" s="1">
        <f>IF(AH425&gt;0,AH283:AH425,0)</f>
        <v>0</v>
      </c>
      <c r="AH425" s="1">
        <f t="shared" ref="AH425:AH431" si="448">AD425-AF425</f>
        <v>0</v>
      </c>
      <c r="AJ425">
        <f t="shared" ref="AJ425:AJ431" si="449">IF(T425=1,P425-U425,0)</f>
        <v>0</v>
      </c>
      <c r="AK425">
        <f t="shared" ref="AK425:AK431" si="450">IF(T425=2,P425-U425,0)</f>
        <v>0</v>
      </c>
      <c r="AL425">
        <f t="shared" ref="AL425:AL431" si="451">IF(T425=3,P425-U425,0)</f>
        <v>0</v>
      </c>
      <c r="AM425">
        <f t="shared" ref="AM425:AM431" si="452">IF(T425=4,P425-U425,0)</f>
        <v>0</v>
      </c>
      <c r="AO425">
        <f t="shared" ref="AO425:AO431" si="453">IF(T425=1,P425-U425,0)</f>
        <v>0</v>
      </c>
      <c r="AP425">
        <f t="shared" ref="AP425:AP431" si="454">IF(T425=2,P425-U425,0)</f>
        <v>0</v>
      </c>
      <c r="AQ425">
        <f t="shared" ref="AQ425:AQ431" si="455">IF(T425=3,P425-U425,0)</f>
        <v>0</v>
      </c>
      <c r="AR425">
        <f t="shared" ref="AR425:AR431" si="456">IF(T425=4,P425-U425,0)</f>
        <v>0</v>
      </c>
    </row>
    <row r="426" spans="2:44" x14ac:dyDescent="0.25">
      <c r="B426" s="83" t="s">
        <v>82</v>
      </c>
      <c r="E426" t="s">
        <v>42</v>
      </c>
      <c r="F426">
        <f t="shared" si="416"/>
        <v>3</v>
      </c>
      <c r="G426">
        <f t="shared" si="417"/>
        <v>0</v>
      </c>
      <c r="H426" s="167" t="s">
        <v>1190</v>
      </c>
      <c r="I426" s="121">
        <v>3</v>
      </c>
      <c r="K426" t="s">
        <v>1153</v>
      </c>
      <c r="N426" s="4" t="s">
        <v>36</v>
      </c>
      <c r="P426" s="86">
        <v>0</v>
      </c>
      <c r="Q426" s="165">
        <v>0</v>
      </c>
      <c r="R426">
        <v>0</v>
      </c>
      <c r="S426" s="6"/>
      <c r="T426" s="61"/>
      <c r="U426" s="61">
        <f t="shared" si="443"/>
        <v>0</v>
      </c>
      <c r="V426" s="7" t="str">
        <f t="shared" si="444"/>
        <v>NONE</v>
      </c>
      <c r="W426" s="56"/>
      <c r="X426" s="5"/>
      <c r="Y426" s="61">
        <f t="shared" si="433"/>
        <v>0</v>
      </c>
      <c r="Z426" s="61"/>
      <c r="AA426" s="1">
        <f t="shared" si="420"/>
        <v>0</v>
      </c>
      <c r="AB426" s="1">
        <f t="shared" si="445"/>
        <v>130</v>
      </c>
      <c r="AC426" s="1"/>
      <c r="AD426" s="65">
        <f t="shared" si="446"/>
        <v>-130</v>
      </c>
      <c r="AE426" s="1"/>
      <c r="AF426" s="1">
        <f t="shared" si="447"/>
        <v>0</v>
      </c>
      <c r="AG426" s="1">
        <f>IF(AH426&gt;0,AH283:AH444,0)</f>
        <v>0</v>
      </c>
      <c r="AH426" s="1">
        <f t="shared" si="448"/>
        <v>-130</v>
      </c>
      <c r="AJ426">
        <f t="shared" si="449"/>
        <v>0</v>
      </c>
      <c r="AK426">
        <f t="shared" si="450"/>
        <v>0</v>
      </c>
      <c r="AL426">
        <f t="shared" si="451"/>
        <v>0</v>
      </c>
      <c r="AM426">
        <f t="shared" si="452"/>
        <v>0</v>
      </c>
      <c r="AO426">
        <f t="shared" si="453"/>
        <v>0</v>
      </c>
      <c r="AP426">
        <f t="shared" si="454"/>
        <v>0</v>
      </c>
      <c r="AQ426">
        <f t="shared" si="455"/>
        <v>0</v>
      </c>
      <c r="AR426">
        <f t="shared" si="456"/>
        <v>0</v>
      </c>
    </row>
    <row r="427" spans="2:44" x14ac:dyDescent="0.25">
      <c r="B427" s="253" t="s">
        <v>1289</v>
      </c>
      <c r="C427" s="249" t="s">
        <v>1283</v>
      </c>
      <c r="D427" s="249"/>
      <c r="E427" s="287" t="s">
        <v>899</v>
      </c>
      <c r="F427" s="248">
        <f>IF(E427=$B$12,I427,0)</f>
        <v>0</v>
      </c>
      <c r="G427" s="248">
        <f>IF(F427&gt;0,0,1)</f>
        <v>1</v>
      </c>
      <c r="H427" s="248" t="s">
        <v>1281</v>
      </c>
      <c r="I427" s="121">
        <v>5</v>
      </c>
      <c r="K427" t="s">
        <v>1282</v>
      </c>
      <c r="N427" s="4" t="s">
        <v>36</v>
      </c>
      <c r="P427" s="86">
        <v>0</v>
      </c>
      <c r="Q427" s="165">
        <f>1577.35+500</f>
        <v>2077.35</v>
      </c>
      <c r="R427">
        <v>0</v>
      </c>
      <c r="S427" s="163" t="s">
        <v>1284</v>
      </c>
      <c r="T427" s="61"/>
      <c r="U427" s="61">
        <f>IF(V427=$AE$2,47,IF(V427=$AE$1,ROUND(((P427+500)*0.039),0),IF(V427=$AE$3,0)))</f>
        <v>0</v>
      </c>
      <c r="V427" s="7" t="str">
        <f>IF(W427=1,$AE$2,IF(W427=2,$AE$1,IF(AND(W427&lt;&gt;1,W427&lt;&gt;20)=TRUE,$AE$3)))</f>
        <v>NONE</v>
      </c>
      <c r="W427" s="56"/>
      <c r="X427" s="87" t="s">
        <v>56</v>
      </c>
      <c r="Y427" s="61">
        <f>IF(S427="SITE",R427,R427+Q427)</f>
        <v>2077.35</v>
      </c>
      <c r="Z427" s="61"/>
      <c r="AA427" s="1">
        <f>IF(X427=$AA$1,R427-500, IF(S427="SITE",R427, IF(X427="A/D/F1/500",R427, 0)))</f>
        <v>-500</v>
      </c>
      <c r="AB427" s="1">
        <f>IF(I427&gt;0,130,0)</f>
        <v>130</v>
      </c>
      <c r="AC427" s="1"/>
      <c r="AD427" s="65">
        <f>(P427+U427)-AB427</f>
        <v>-130</v>
      </c>
      <c r="AE427" s="1"/>
      <c r="AF427" s="1">
        <f>IF(I427&gt;0,30*G427,0)</f>
        <v>30</v>
      </c>
      <c r="AG427" s="1">
        <f>IF(AH427&gt;0,AH285:AH427,0)</f>
        <v>0</v>
      </c>
      <c r="AH427" s="1">
        <f>AD427-AF427</f>
        <v>-160</v>
      </c>
      <c r="AJ427">
        <f>IF(T427=1,P427-U427,0)</f>
        <v>0</v>
      </c>
      <c r="AK427">
        <f>IF(T427=2,P427-U427,0)</f>
        <v>0</v>
      </c>
      <c r="AL427">
        <f>IF(T427=3,P427-U427,0)</f>
        <v>0</v>
      </c>
      <c r="AM427">
        <f>IF(T427=4,P427-U427,0)</f>
        <v>0</v>
      </c>
      <c r="AO427">
        <f>IF(T427=1,P427-U427,0)</f>
        <v>0</v>
      </c>
      <c r="AP427">
        <f>IF(T427=2,P427-U427,0)</f>
        <v>0</v>
      </c>
      <c r="AQ427">
        <f>IF(T427=3,P427-U427,0)</f>
        <v>0</v>
      </c>
      <c r="AR427">
        <f>IF(T427=4,P427-U427,0)</f>
        <v>0</v>
      </c>
    </row>
    <row r="428" spans="2:44" x14ac:dyDescent="0.25">
      <c r="B428" s="253" t="s">
        <v>1291</v>
      </c>
      <c r="C428" s="248" t="s">
        <v>878</v>
      </c>
      <c r="D428" s="248"/>
      <c r="E428" s="92" t="s">
        <v>899</v>
      </c>
      <c r="F428">
        <v>0</v>
      </c>
      <c r="G428">
        <v>1</v>
      </c>
      <c r="H428" s="121" t="s">
        <v>1247</v>
      </c>
      <c r="I428" s="121">
        <v>5</v>
      </c>
      <c r="K428" t="s">
        <v>876</v>
      </c>
      <c r="N428" s="4" t="s">
        <v>394</v>
      </c>
      <c r="P428" s="86">
        <v>0</v>
      </c>
      <c r="Q428" s="165">
        <f>P428/2</f>
        <v>0</v>
      </c>
      <c r="R428" s="176">
        <v>1292.6300000000001</v>
      </c>
      <c r="S428" s="265" t="s">
        <v>1248</v>
      </c>
      <c r="T428" s="266" t="s">
        <v>1249</v>
      </c>
      <c r="U428" s="61">
        <f t="shared" si="443"/>
        <v>0</v>
      </c>
      <c r="V428" s="7" t="str">
        <f t="shared" si="444"/>
        <v>NONE</v>
      </c>
      <c r="W428" s="56" t="s">
        <v>1273</v>
      </c>
      <c r="X428" s="87" t="s">
        <v>56</v>
      </c>
      <c r="Y428" s="61">
        <f t="shared" si="433"/>
        <v>1292.6300000000001</v>
      </c>
      <c r="Z428" s="61"/>
      <c r="AA428" s="1">
        <f>IF(X428=$AA$1,R428-500, IF(S428="SITE",R428, IF(X428="A/D/F1/500",R428, 0)))</f>
        <v>792.63000000000011</v>
      </c>
      <c r="AB428" s="1">
        <f t="shared" si="445"/>
        <v>130</v>
      </c>
      <c r="AC428" s="1"/>
      <c r="AD428" s="65">
        <f t="shared" si="446"/>
        <v>-130</v>
      </c>
      <c r="AE428" s="1"/>
      <c r="AF428" s="1">
        <f t="shared" si="447"/>
        <v>30</v>
      </c>
      <c r="AG428" s="1">
        <f>IF(AH428&gt;0,AH280:AH428,0)</f>
        <v>0</v>
      </c>
      <c r="AH428" s="1">
        <f t="shared" si="448"/>
        <v>-160</v>
      </c>
      <c r="AJ428">
        <f t="shared" si="449"/>
        <v>0</v>
      </c>
      <c r="AK428">
        <f t="shared" si="450"/>
        <v>0</v>
      </c>
      <c r="AL428">
        <f t="shared" si="451"/>
        <v>0</v>
      </c>
      <c r="AM428">
        <f t="shared" si="452"/>
        <v>0</v>
      </c>
      <c r="AO428">
        <f t="shared" si="453"/>
        <v>0</v>
      </c>
      <c r="AP428">
        <f t="shared" si="454"/>
        <v>0</v>
      </c>
      <c r="AQ428">
        <f t="shared" si="455"/>
        <v>0</v>
      </c>
      <c r="AR428">
        <f t="shared" si="456"/>
        <v>0</v>
      </c>
    </row>
    <row r="429" spans="2:44" x14ac:dyDescent="0.25">
      <c r="B429" s="83" t="s">
        <v>82</v>
      </c>
      <c r="C429" s="231"/>
      <c r="D429" s="231"/>
      <c r="F429">
        <f t="shared" si="416"/>
        <v>0</v>
      </c>
      <c r="G429">
        <f t="shared" si="417"/>
        <v>1</v>
      </c>
      <c r="H429" s="262" t="s">
        <v>1292</v>
      </c>
      <c r="I429" s="121"/>
      <c r="K429" t="s">
        <v>1153</v>
      </c>
      <c r="N429" s="4" t="s">
        <v>36</v>
      </c>
      <c r="P429" s="86">
        <v>0</v>
      </c>
      <c r="Q429" s="165">
        <v>0</v>
      </c>
      <c r="R429">
        <v>0</v>
      </c>
      <c r="S429" s="6"/>
      <c r="T429" s="61"/>
      <c r="U429" s="61">
        <f t="shared" si="443"/>
        <v>0</v>
      </c>
      <c r="V429" s="7" t="str">
        <f t="shared" si="444"/>
        <v>NONE</v>
      </c>
      <c r="W429" s="56"/>
      <c r="X429" s="87"/>
      <c r="Y429" s="61">
        <f t="shared" si="433"/>
        <v>0</v>
      </c>
      <c r="Z429" s="61"/>
      <c r="AA429" s="1">
        <f t="shared" si="420"/>
        <v>0</v>
      </c>
      <c r="AB429" s="1">
        <f t="shared" si="445"/>
        <v>0</v>
      </c>
      <c r="AC429" s="1"/>
      <c r="AD429" s="65">
        <f t="shared" si="446"/>
        <v>0</v>
      </c>
      <c r="AE429" s="1"/>
      <c r="AF429" s="1">
        <f t="shared" si="447"/>
        <v>0</v>
      </c>
      <c r="AG429" s="1">
        <f>IF(AH429&gt;0,AH280:AH440,0)</f>
        <v>0</v>
      </c>
      <c r="AH429" s="1">
        <f t="shared" si="448"/>
        <v>0</v>
      </c>
      <c r="AJ429">
        <f t="shared" si="449"/>
        <v>0</v>
      </c>
      <c r="AK429">
        <f t="shared" si="450"/>
        <v>0</v>
      </c>
      <c r="AL429">
        <f t="shared" si="451"/>
        <v>0</v>
      </c>
      <c r="AM429">
        <f t="shared" si="452"/>
        <v>0</v>
      </c>
      <c r="AO429">
        <f t="shared" si="453"/>
        <v>0</v>
      </c>
      <c r="AP429">
        <f t="shared" si="454"/>
        <v>0</v>
      </c>
      <c r="AQ429">
        <f t="shared" si="455"/>
        <v>0</v>
      </c>
      <c r="AR429">
        <f t="shared" si="456"/>
        <v>0</v>
      </c>
    </row>
    <row r="430" spans="2:44" x14ac:dyDescent="0.25">
      <c r="B430" s="241" t="s">
        <v>1300</v>
      </c>
      <c r="C430" s="267" t="s">
        <v>1298</v>
      </c>
      <c r="D430" s="267"/>
      <c r="E430" s="94" t="s">
        <v>370</v>
      </c>
      <c r="F430" s="94">
        <f>IF(E430=$B$12,I430,0)</f>
        <v>0</v>
      </c>
      <c r="G430" s="94">
        <f>IF(F430&gt;0,0,1)</f>
        <v>1</v>
      </c>
      <c r="H430" s="94" t="s">
        <v>1297</v>
      </c>
      <c r="I430" s="121"/>
      <c r="K430" t="s">
        <v>1301</v>
      </c>
      <c r="M430" s="51"/>
      <c r="N430" s="4" t="s">
        <v>36</v>
      </c>
      <c r="P430" s="86">
        <v>1500.24</v>
      </c>
      <c r="Q430" s="165">
        <v>0</v>
      </c>
      <c r="R430">
        <v>1500.24</v>
      </c>
      <c r="S430" s="198" t="s">
        <v>1299</v>
      </c>
      <c r="T430" s="61"/>
      <c r="U430" s="61">
        <f>IF(V430=$AE$2,47,IF(V430=$AE$1,ROUND(((P430+500)*0.039),0),IF(V430=$AE$3,0)))</f>
        <v>0</v>
      </c>
      <c r="V430" s="7" t="str">
        <f>IF(W430=1,$AE$2,IF(W430=2,$AE$1,IF(AND(W430&lt;&gt;1,W430&lt;&gt;20)=TRUE,$AE$3)))</f>
        <v>NONE</v>
      </c>
      <c r="W430" s="56"/>
      <c r="X430" s="5"/>
      <c r="Y430" s="61">
        <f t="shared" si="433"/>
        <v>1500.24</v>
      </c>
      <c r="Z430" s="61"/>
      <c r="AA430" s="1">
        <f t="shared" si="420"/>
        <v>0</v>
      </c>
      <c r="AB430" s="1">
        <f>IF(I430&gt;0,130,0)</f>
        <v>0</v>
      </c>
      <c r="AC430" s="1"/>
      <c r="AD430" s="65">
        <f>(P430+U430)-AB430</f>
        <v>1500.24</v>
      </c>
      <c r="AE430" s="1"/>
      <c r="AF430" s="1">
        <f>IF(I430&gt;0,30*G430,0)</f>
        <v>0</v>
      </c>
      <c r="AG430" s="1">
        <f>IF(AH430&gt;0,AH285:AH431,0)</f>
        <v>1500.24</v>
      </c>
      <c r="AH430" s="1">
        <f>AD430-AF430</f>
        <v>1500.24</v>
      </c>
      <c r="AJ430">
        <f>IF(T430=1,P430-U430,0)</f>
        <v>0</v>
      </c>
      <c r="AK430">
        <f>IF(T430=2,P430-U430,0)</f>
        <v>0</v>
      </c>
      <c r="AL430">
        <f>IF(T430=3,P430-U430,0)</f>
        <v>0</v>
      </c>
      <c r="AM430">
        <f>IF(T430=4,P430-U430,0)</f>
        <v>0</v>
      </c>
      <c r="AO430">
        <f>IF(T430=1,P430-U430,0)</f>
        <v>0</v>
      </c>
      <c r="AP430">
        <f>IF(T430=2,P430-U430,0)</f>
        <v>0</v>
      </c>
      <c r="AQ430">
        <f>IF(T430=3,P430-U430,0)</f>
        <v>0</v>
      </c>
      <c r="AR430">
        <f>IF(T430=4,P430-U430,0)</f>
        <v>0</v>
      </c>
    </row>
    <row r="431" spans="2:44" x14ac:dyDescent="0.25">
      <c r="B431" s="83" t="s">
        <v>82</v>
      </c>
      <c r="C431" s="8"/>
      <c r="D431" s="8"/>
      <c r="E431" t="s">
        <v>42</v>
      </c>
      <c r="F431">
        <f t="shared" si="416"/>
        <v>35</v>
      </c>
      <c r="G431">
        <f t="shared" si="417"/>
        <v>0</v>
      </c>
      <c r="H431" s="167" t="s">
        <v>1293</v>
      </c>
      <c r="I431" s="121">
        <v>35</v>
      </c>
      <c r="K431" t="s">
        <v>1153</v>
      </c>
      <c r="N431" s="4" t="s">
        <v>36</v>
      </c>
      <c r="P431" s="86">
        <v>0</v>
      </c>
      <c r="Q431" s="165">
        <v>0</v>
      </c>
      <c r="R431">
        <v>0</v>
      </c>
      <c r="S431" s="6"/>
      <c r="T431" s="61"/>
      <c r="U431" s="61">
        <f t="shared" si="443"/>
        <v>0</v>
      </c>
      <c r="V431" s="7" t="str">
        <f t="shared" si="444"/>
        <v>NONE</v>
      </c>
      <c r="W431" s="56"/>
      <c r="X431" s="5"/>
      <c r="Y431" s="61">
        <f t="shared" si="433"/>
        <v>0</v>
      </c>
      <c r="Z431" s="61"/>
      <c r="AA431" s="1">
        <f t="shared" si="420"/>
        <v>0</v>
      </c>
      <c r="AB431" s="1">
        <f t="shared" si="445"/>
        <v>130</v>
      </c>
      <c r="AC431" s="1"/>
      <c r="AD431" s="65">
        <f t="shared" si="446"/>
        <v>-130</v>
      </c>
      <c r="AE431" s="1"/>
      <c r="AF431" s="1">
        <f t="shared" si="447"/>
        <v>0</v>
      </c>
      <c r="AG431" s="1">
        <f>IF(AH431&gt;0,AH283:AH431,0)</f>
        <v>0</v>
      </c>
      <c r="AH431" s="1">
        <f t="shared" si="448"/>
        <v>-130</v>
      </c>
      <c r="AJ431">
        <f t="shared" si="449"/>
        <v>0</v>
      </c>
      <c r="AK431">
        <f t="shared" si="450"/>
        <v>0</v>
      </c>
      <c r="AL431">
        <f t="shared" si="451"/>
        <v>0</v>
      </c>
      <c r="AM431">
        <f t="shared" si="452"/>
        <v>0</v>
      </c>
      <c r="AO431">
        <f t="shared" si="453"/>
        <v>0</v>
      </c>
      <c r="AP431">
        <f t="shared" si="454"/>
        <v>0</v>
      </c>
      <c r="AQ431">
        <f t="shared" si="455"/>
        <v>0</v>
      </c>
      <c r="AR431">
        <f t="shared" si="456"/>
        <v>0</v>
      </c>
    </row>
    <row r="432" spans="2:44" x14ac:dyDescent="0.25">
      <c r="B432" s="8"/>
      <c r="C432" s="8"/>
      <c r="D432" s="8"/>
      <c r="F432">
        <f t="shared" si="416"/>
        <v>0</v>
      </c>
      <c r="G432">
        <f t="shared" si="417"/>
        <v>1</v>
      </c>
      <c r="I432" s="121"/>
      <c r="N432" s="4" t="s">
        <v>36</v>
      </c>
      <c r="P432" s="86">
        <v>0</v>
      </c>
      <c r="Q432" s="165">
        <v>0</v>
      </c>
      <c r="R432">
        <v>0</v>
      </c>
      <c r="S432" s="6"/>
      <c r="T432" s="61"/>
      <c r="U432" s="61">
        <f t="shared" ref="U432:U451" si="457">IF(V432=$AE$2,47,IF(V432=$AE$1,ROUND(((P432+500)*0.039),0),IF(V432=$AE$3,0)))</f>
        <v>0</v>
      </c>
      <c r="V432" s="7" t="str">
        <f t="shared" ref="V432:V451" si="458">IF(W432=1,$AE$2,IF(W432=2,$AE$1,IF(AND(W432&lt;&gt;1,W432&lt;&gt;20)=TRUE,$AE$3)))</f>
        <v>NONE</v>
      </c>
      <c r="W432" s="56">
        <f>5000-448+500</f>
        <v>5052</v>
      </c>
      <c r="X432" s="5"/>
      <c r="Y432" s="61">
        <f t="shared" si="433"/>
        <v>0</v>
      </c>
      <c r="Z432" s="61"/>
      <c r="AA432" s="1">
        <f t="shared" si="420"/>
        <v>0</v>
      </c>
      <c r="AB432" s="1">
        <f t="shared" ref="AB432:AB451" si="459">IF(I432&gt;0,130,0)</f>
        <v>0</v>
      </c>
      <c r="AC432" s="1"/>
      <c r="AD432" s="65">
        <f t="shared" ref="AD432:AD451" si="460">(P432+U432)-AB432</f>
        <v>0</v>
      </c>
      <c r="AE432" s="1"/>
      <c r="AF432" s="1">
        <f t="shared" ref="AF432:AF451" si="461">IF(I432&gt;0,30*G432,0)</f>
        <v>0</v>
      </c>
      <c r="AG432" s="1">
        <f>IF(AH432&gt;0,AH285:AH432,0)</f>
        <v>0</v>
      </c>
      <c r="AH432" s="1">
        <f t="shared" ref="AH432:AH451" si="462">AD432-AF432</f>
        <v>0</v>
      </c>
      <c r="AJ432">
        <f t="shared" ref="AJ432:AJ451" si="463">IF(T432=1,P432-U432,0)</f>
        <v>0</v>
      </c>
      <c r="AK432">
        <f t="shared" ref="AK432:AK451" si="464">IF(T432=2,P432-U432,0)</f>
        <v>0</v>
      </c>
      <c r="AL432">
        <f t="shared" ref="AL432:AL451" si="465">IF(T432=3,P432-U432,0)</f>
        <v>0</v>
      </c>
      <c r="AM432">
        <f t="shared" ref="AM432:AM451" si="466">IF(T432=4,P432-U432,0)</f>
        <v>0</v>
      </c>
      <c r="AO432">
        <f t="shared" ref="AO432:AO451" si="467">IF(T432=1,P432-U432,0)</f>
        <v>0</v>
      </c>
      <c r="AP432">
        <f t="shared" ref="AP432:AP451" si="468">IF(T432=2,P432-U432,0)</f>
        <v>0</v>
      </c>
      <c r="AQ432">
        <f t="shared" ref="AQ432:AQ451" si="469">IF(T432=3,P432-U432,0)</f>
        <v>0</v>
      </c>
      <c r="AR432">
        <f t="shared" ref="AR432:AR451" si="470">IF(T432=4,P432-U432,0)</f>
        <v>0</v>
      </c>
    </row>
    <row r="433" spans="2:44" x14ac:dyDescent="0.25">
      <c r="B433" s="83" t="s">
        <v>82</v>
      </c>
      <c r="C433" s="8"/>
      <c r="D433" s="8"/>
      <c r="E433" t="s">
        <v>42</v>
      </c>
      <c r="F433">
        <f t="shared" si="416"/>
        <v>0</v>
      </c>
      <c r="G433">
        <f t="shared" si="417"/>
        <v>1</v>
      </c>
      <c r="H433" s="245" t="s">
        <v>1294</v>
      </c>
      <c r="I433" s="121"/>
      <c r="K433" t="s">
        <v>1153</v>
      </c>
      <c r="M433" s="51"/>
      <c r="N433" s="4" t="s">
        <v>36</v>
      </c>
      <c r="P433" s="86">
        <v>0</v>
      </c>
      <c r="Q433" s="165">
        <v>0</v>
      </c>
      <c r="R433">
        <v>0</v>
      </c>
      <c r="S433" s="6"/>
      <c r="T433" s="61"/>
      <c r="U433" s="61">
        <f t="shared" si="457"/>
        <v>0</v>
      </c>
      <c r="V433" s="7" t="str">
        <f t="shared" si="458"/>
        <v>NONE</v>
      </c>
      <c r="W433" s="56"/>
      <c r="X433" s="5"/>
      <c r="Y433" s="61">
        <f t="shared" si="433"/>
        <v>0</v>
      </c>
      <c r="Z433" s="61"/>
      <c r="AA433" s="1">
        <f t="shared" si="420"/>
        <v>0</v>
      </c>
      <c r="AB433" s="1">
        <f t="shared" si="459"/>
        <v>0</v>
      </c>
      <c r="AC433" s="1"/>
      <c r="AD433" s="65">
        <f t="shared" si="460"/>
        <v>0</v>
      </c>
      <c r="AE433" s="1"/>
      <c r="AF433" s="1">
        <f t="shared" si="461"/>
        <v>0</v>
      </c>
      <c r="AG433" s="1">
        <f>IF(AH433&gt;0,AH287:AH433,0)</f>
        <v>0</v>
      </c>
      <c r="AH433" s="1">
        <f t="shared" si="462"/>
        <v>0</v>
      </c>
      <c r="AJ433">
        <f t="shared" si="463"/>
        <v>0</v>
      </c>
      <c r="AK433">
        <f t="shared" si="464"/>
        <v>0</v>
      </c>
      <c r="AL433">
        <f t="shared" si="465"/>
        <v>0</v>
      </c>
      <c r="AM433">
        <f t="shared" si="466"/>
        <v>0</v>
      </c>
      <c r="AO433">
        <f t="shared" si="467"/>
        <v>0</v>
      </c>
      <c r="AP433">
        <f t="shared" si="468"/>
        <v>0</v>
      </c>
      <c r="AQ433">
        <f t="shared" si="469"/>
        <v>0</v>
      </c>
      <c r="AR433">
        <f t="shared" si="470"/>
        <v>0</v>
      </c>
    </row>
    <row r="434" spans="2:44" ht="15.75" customHeight="1" x14ac:dyDescent="0.25">
      <c r="B434" s="8"/>
      <c r="C434" s="8"/>
      <c r="D434" s="8"/>
      <c r="F434">
        <f t="shared" si="416"/>
        <v>0</v>
      </c>
      <c r="G434">
        <f t="shared" si="417"/>
        <v>1</v>
      </c>
      <c r="I434" s="121"/>
      <c r="N434" s="4" t="s">
        <v>36</v>
      </c>
      <c r="P434" s="86">
        <v>0</v>
      </c>
      <c r="Q434" s="165">
        <v>0</v>
      </c>
      <c r="R434">
        <v>0</v>
      </c>
      <c r="S434" s="6"/>
      <c r="T434" s="61"/>
      <c r="U434" s="61">
        <f t="shared" si="457"/>
        <v>0</v>
      </c>
      <c r="V434" s="7" t="str">
        <f t="shared" si="458"/>
        <v>NONE</v>
      </c>
      <c r="W434" s="56"/>
      <c r="X434" s="5"/>
      <c r="Y434" s="61">
        <f t="shared" si="433"/>
        <v>0</v>
      </c>
      <c r="Z434" s="61"/>
      <c r="AA434" s="1">
        <f t="shared" si="420"/>
        <v>0</v>
      </c>
      <c r="AB434" s="1">
        <f t="shared" si="459"/>
        <v>0</v>
      </c>
      <c r="AC434" s="1"/>
      <c r="AD434" s="65">
        <f t="shared" si="460"/>
        <v>0</v>
      </c>
      <c r="AE434" s="1"/>
      <c r="AF434" s="1">
        <f t="shared" si="461"/>
        <v>0</v>
      </c>
      <c r="AG434" s="1">
        <f>IF(AH434&gt;0,AH283:AH434,0)</f>
        <v>0</v>
      </c>
      <c r="AH434" s="1">
        <f t="shared" si="462"/>
        <v>0</v>
      </c>
      <c r="AJ434">
        <f t="shared" si="463"/>
        <v>0</v>
      </c>
      <c r="AK434">
        <f t="shared" si="464"/>
        <v>0</v>
      </c>
      <c r="AL434">
        <f t="shared" si="465"/>
        <v>0</v>
      </c>
      <c r="AM434">
        <f t="shared" si="466"/>
        <v>0</v>
      </c>
      <c r="AO434">
        <f t="shared" si="467"/>
        <v>0</v>
      </c>
      <c r="AP434">
        <f t="shared" si="468"/>
        <v>0</v>
      </c>
      <c r="AQ434">
        <f t="shared" si="469"/>
        <v>0</v>
      </c>
      <c r="AR434">
        <f t="shared" si="470"/>
        <v>0</v>
      </c>
    </row>
    <row r="435" spans="2:44" x14ac:dyDescent="0.25">
      <c r="B435" s="178"/>
      <c r="F435">
        <f t="shared" si="416"/>
        <v>0</v>
      </c>
      <c r="G435">
        <f t="shared" si="417"/>
        <v>1</v>
      </c>
      <c r="I435" s="121"/>
      <c r="N435" s="4" t="s">
        <v>36</v>
      </c>
      <c r="P435" s="86">
        <v>0</v>
      </c>
      <c r="Q435" s="165">
        <v>0</v>
      </c>
      <c r="R435">
        <v>0</v>
      </c>
      <c r="S435" s="6"/>
      <c r="T435" s="61"/>
      <c r="U435" s="61">
        <f t="shared" si="457"/>
        <v>0</v>
      </c>
      <c r="V435" s="7" t="str">
        <f t="shared" si="458"/>
        <v>NONE</v>
      </c>
      <c r="W435" s="56"/>
      <c r="X435" s="5"/>
      <c r="Y435" s="61">
        <f t="shared" si="433"/>
        <v>0</v>
      </c>
      <c r="Z435" s="61"/>
      <c r="AA435" s="1">
        <f t="shared" si="420"/>
        <v>0</v>
      </c>
      <c r="AB435" s="1">
        <f t="shared" si="459"/>
        <v>0</v>
      </c>
      <c r="AC435" s="1"/>
      <c r="AD435" s="65">
        <f t="shared" si="460"/>
        <v>0</v>
      </c>
      <c r="AE435" s="1"/>
      <c r="AF435" s="1">
        <f t="shared" si="461"/>
        <v>0</v>
      </c>
      <c r="AG435" s="1">
        <f>IF(AH435&gt;0,AH285:AH435,0)</f>
        <v>0</v>
      </c>
      <c r="AH435" s="1">
        <f t="shared" si="462"/>
        <v>0</v>
      </c>
      <c r="AJ435">
        <f t="shared" si="463"/>
        <v>0</v>
      </c>
      <c r="AK435">
        <f t="shared" si="464"/>
        <v>0</v>
      </c>
      <c r="AL435">
        <f t="shared" si="465"/>
        <v>0</v>
      </c>
      <c r="AM435">
        <f t="shared" si="466"/>
        <v>0</v>
      </c>
      <c r="AO435">
        <f t="shared" si="467"/>
        <v>0</v>
      </c>
      <c r="AP435">
        <f t="shared" si="468"/>
        <v>0</v>
      </c>
      <c r="AQ435">
        <f t="shared" si="469"/>
        <v>0</v>
      </c>
      <c r="AR435">
        <f t="shared" si="470"/>
        <v>0</v>
      </c>
    </row>
    <row r="436" spans="2:44" x14ac:dyDescent="0.25">
      <c r="B436" s="83" t="s">
        <v>82</v>
      </c>
      <c r="F436">
        <f t="shared" si="416"/>
        <v>0</v>
      </c>
      <c r="G436">
        <f t="shared" si="417"/>
        <v>1</v>
      </c>
      <c r="H436" s="245" t="s">
        <v>1296</v>
      </c>
      <c r="I436" s="121">
        <v>3</v>
      </c>
      <c r="K436" t="s">
        <v>1153</v>
      </c>
      <c r="N436" s="4" t="s">
        <v>36</v>
      </c>
      <c r="P436" s="86">
        <v>0</v>
      </c>
      <c r="Q436" s="165">
        <v>0</v>
      </c>
      <c r="R436">
        <v>0</v>
      </c>
      <c r="S436" s="6"/>
      <c r="T436" s="61"/>
      <c r="U436" s="61">
        <f t="shared" si="457"/>
        <v>0</v>
      </c>
      <c r="V436" s="7" t="str">
        <f t="shared" si="458"/>
        <v>NONE</v>
      </c>
      <c r="W436" s="56"/>
      <c r="X436" s="87"/>
      <c r="Y436" s="61">
        <f t="shared" si="433"/>
        <v>0</v>
      </c>
      <c r="Z436" s="61"/>
      <c r="AA436" s="1">
        <f t="shared" si="420"/>
        <v>0</v>
      </c>
      <c r="AB436" s="1">
        <f t="shared" si="459"/>
        <v>130</v>
      </c>
      <c r="AC436" s="1"/>
      <c r="AD436" s="65">
        <f t="shared" si="460"/>
        <v>-130</v>
      </c>
      <c r="AE436" s="1"/>
      <c r="AF436" s="1">
        <f t="shared" si="461"/>
        <v>30</v>
      </c>
      <c r="AG436" s="1">
        <f>IF(AH436&gt;0,AH285:AH445,0)</f>
        <v>0</v>
      </c>
      <c r="AH436" s="1">
        <f t="shared" si="462"/>
        <v>-160</v>
      </c>
      <c r="AJ436">
        <f t="shared" si="463"/>
        <v>0</v>
      </c>
      <c r="AK436">
        <f t="shared" si="464"/>
        <v>0</v>
      </c>
      <c r="AL436">
        <f t="shared" si="465"/>
        <v>0</v>
      </c>
      <c r="AM436">
        <f t="shared" si="466"/>
        <v>0</v>
      </c>
      <c r="AO436">
        <f t="shared" si="467"/>
        <v>0</v>
      </c>
      <c r="AP436">
        <f t="shared" si="468"/>
        <v>0</v>
      </c>
      <c r="AQ436">
        <f t="shared" si="469"/>
        <v>0</v>
      </c>
      <c r="AR436">
        <f t="shared" si="470"/>
        <v>0</v>
      </c>
    </row>
    <row r="437" spans="2:44" ht="13.15" customHeight="1" x14ac:dyDescent="0.25">
      <c r="B437" s="253" t="s">
        <v>1307</v>
      </c>
      <c r="C437" s="249" t="s">
        <v>1306</v>
      </c>
      <c r="D437" s="253"/>
      <c r="E437" s="248" t="s">
        <v>370</v>
      </c>
      <c r="F437" s="248">
        <f t="shared" si="416"/>
        <v>0</v>
      </c>
      <c r="G437" s="248">
        <f t="shared" si="417"/>
        <v>1</v>
      </c>
      <c r="H437" s="250" t="s">
        <v>1304</v>
      </c>
      <c r="I437" s="121">
        <v>5</v>
      </c>
      <c r="K437" t="s">
        <v>1305</v>
      </c>
      <c r="N437" s="4" t="s">
        <v>36</v>
      </c>
      <c r="P437" s="191">
        <v>1605.24</v>
      </c>
      <c r="Q437" s="165">
        <v>0</v>
      </c>
      <c r="R437" s="188">
        <v>1605.24</v>
      </c>
      <c r="S437" s="6" t="s">
        <v>370</v>
      </c>
      <c r="T437" s="264" t="s">
        <v>1314</v>
      </c>
      <c r="U437" s="61">
        <f t="shared" si="457"/>
        <v>0</v>
      </c>
      <c r="V437" s="7" t="str">
        <f t="shared" si="458"/>
        <v>NONE</v>
      </c>
      <c r="W437" s="56"/>
      <c r="X437" s="5"/>
      <c r="Y437" s="61">
        <f t="shared" si="433"/>
        <v>1605.24</v>
      </c>
      <c r="Z437" s="61"/>
      <c r="AA437" s="1">
        <f t="shared" si="420"/>
        <v>0</v>
      </c>
      <c r="AB437" s="1">
        <f t="shared" si="459"/>
        <v>130</v>
      </c>
      <c r="AC437" s="1"/>
      <c r="AD437" s="65">
        <f t="shared" si="460"/>
        <v>1475.24</v>
      </c>
      <c r="AE437" s="1"/>
      <c r="AF437" s="1">
        <f t="shared" si="461"/>
        <v>30</v>
      </c>
      <c r="AG437" s="1">
        <f>IF(AH437&gt;0,AH288:AH437,0)</f>
        <v>1445.24</v>
      </c>
      <c r="AH437" s="1">
        <f t="shared" si="462"/>
        <v>1445.24</v>
      </c>
      <c r="AJ437">
        <f t="shared" si="463"/>
        <v>0</v>
      </c>
      <c r="AK437">
        <f t="shared" si="464"/>
        <v>0</v>
      </c>
      <c r="AL437">
        <f t="shared" si="465"/>
        <v>0</v>
      </c>
      <c r="AM437">
        <f t="shared" si="466"/>
        <v>0</v>
      </c>
      <c r="AO437">
        <f t="shared" si="467"/>
        <v>0</v>
      </c>
      <c r="AP437">
        <f t="shared" si="468"/>
        <v>0</v>
      </c>
      <c r="AQ437">
        <f t="shared" si="469"/>
        <v>0</v>
      </c>
      <c r="AR437">
        <f t="shared" si="470"/>
        <v>0</v>
      </c>
    </row>
    <row r="438" spans="2:44" x14ac:dyDescent="0.25">
      <c r="B438" s="253" t="s">
        <v>1258</v>
      </c>
      <c r="C438" s="249" t="s">
        <v>929</v>
      </c>
      <c r="D438" s="249"/>
      <c r="E438" s="92" t="s">
        <v>899</v>
      </c>
      <c r="F438">
        <f t="shared" si="416"/>
        <v>0</v>
      </c>
      <c r="G438">
        <f t="shared" si="417"/>
        <v>1</v>
      </c>
      <c r="H438" t="s">
        <v>1257</v>
      </c>
      <c r="I438" s="121">
        <v>7</v>
      </c>
      <c r="K438" t="s">
        <v>1272</v>
      </c>
      <c r="M438" s="87"/>
      <c r="N438" s="4" t="s">
        <v>36</v>
      </c>
      <c r="P438" s="208">
        <f>(1587.32*0.9)+295</f>
        <v>1723.588</v>
      </c>
      <c r="Q438" s="165">
        <v>500</v>
      </c>
      <c r="R438" s="176">
        <f>P438</f>
        <v>1723.588</v>
      </c>
      <c r="S438" s="6" t="s">
        <v>1311</v>
      </c>
      <c r="T438" s="264" t="s">
        <v>1312</v>
      </c>
      <c r="U438" s="61">
        <f t="shared" si="457"/>
        <v>0</v>
      </c>
      <c r="V438" s="7" t="str">
        <f t="shared" si="458"/>
        <v>NONE</v>
      </c>
      <c r="W438" s="56"/>
      <c r="X438" s="5" t="s">
        <v>1261</v>
      </c>
      <c r="Y438" s="61">
        <f t="shared" si="433"/>
        <v>2223.5879999999997</v>
      </c>
      <c r="Z438" s="61"/>
      <c r="AA438" s="1">
        <f>IF(X438=$AA$1,R438-500, IF(S438="SITE",R438, IF(X438="A/D/F1/500",R438, 0)))</f>
        <v>1723.588</v>
      </c>
      <c r="AB438" s="1">
        <f t="shared" si="459"/>
        <v>130</v>
      </c>
      <c r="AC438" s="1"/>
      <c r="AD438" s="65">
        <f t="shared" si="460"/>
        <v>1593.588</v>
      </c>
      <c r="AE438" s="1"/>
      <c r="AF438" s="1">
        <f t="shared" si="461"/>
        <v>30</v>
      </c>
      <c r="AG438" s="1">
        <f>IF(AH438&gt;0,AH288:AH438,0)</f>
        <v>1563.588</v>
      </c>
      <c r="AH438" s="1">
        <f t="shared" si="462"/>
        <v>1563.588</v>
      </c>
      <c r="AJ438">
        <f t="shared" si="463"/>
        <v>0</v>
      </c>
      <c r="AK438">
        <f t="shared" si="464"/>
        <v>0</v>
      </c>
      <c r="AL438">
        <f t="shared" si="465"/>
        <v>0</v>
      </c>
      <c r="AM438">
        <f t="shared" si="466"/>
        <v>0</v>
      </c>
      <c r="AO438">
        <f t="shared" si="467"/>
        <v>0</v>
      </c>
      <c r="AP438">
        <f t="shared" si="468"/>
        <v>0</v>
      </c>
      <c r="AQ438">
        <f t="shared" si="469"/>
        <v>0</v>
      </c>
      <c r="AR438">
        <f t="shared" si="470"/>
        <v>0</v>
      </c>
    </row>
    <row r="439" spans="2:44" x14ac:dyDescent="0.25">
      <c r="B439" s="83" t="s">
        <v>82</v>
      </c>
      <c r="C439" s="8"/>
      <c r="D439" s="8"/>
      <c r="E439" t="s">
        <v>42</v>
      </c>
      <c r="F439">
        <f t="shared" si="416"/>
        <v>0</v>
      </c>
      <c r="G439">
        <f t="shared" si="417"/>
        <v>1</v>
      </c>
      <c r="H439" s="167" t="s">
        <v>1191</v>
      </c>
      <c r="I439" s="121"/>
      <c r="K439" t="s">
        <v>1153</v>
      </c>
      <c r="N439" s="4" t="s">
        <v>36</v>
      </c>
      <c r="P439" s="86">
        <v>0</v>
      </c>
      <c r="Q439" s="165">
        <v>0</v>
      </c>
      <c r="R439">
        <v>0</v>
      </c>
      <c r="S439" s="6"/>
      <c r="T439" s="61"/>
      <c r="U439" s="61">
        <f t="shared" si="457"/>
        <v>0</v>
      </c>
      <c r="V439" s="7" t="str">
        <f t="shared" si="458"/>
        <v>NONE</v>
      </c>
      <c r="W439" s="56"/>
      <c r="X439" s="5"/>
      <c r="Y439" s="61">
        <f t="shared" si="433"/>
        <v>0</v>
      </c>
      <c r="Z439" s="61"/>
      <c r="AA439" s="1">
        <f t="shared" si="420"/>
        <v>0</v>
      </c>
      <c r="AB439" s="1">
        <f t="shared" si="459"/>
        <v>0</v>
      </c>
      <c r="AC439" s="1"/>
      <c r="AD439" s="65">
        <f t="shared" si="460"/>
        <v>0</v>
      </c>
      <c r="AE439" s="1"/>
      <c r="AF439" s="1">
        <f t="shared" si="461"/>
        <v>0</v>
      </c>
      <c r="AG439" s="1">
        <f>IF(AH439&gt;0,AH289:AH439,0)</f>
        <v>0</v>
      </c>
      <c r="AH439" s="1">
        <f t="shared" si="462"/>
        <v>0</v>
      </c>
      <c r="AJ439">
        <f t="shared" si="463"/>
        <v>0</v>
      </c>
      <c r="AK439">
        <f t="shared" si="464"/>
        <v>0</v>
      </c>
      <c r="AL439">
        <f t="shared" si="465"/>
        <v>0</v>
      </c>
      <c r="AM439">
        <f t="shared" si="466"/>
        <v>0</v>
      </c>
      <c r="AO439">
        <f t="shared" si="467"/>
        <v>0</v>
      </c>
      <c r="AP439">
        <f t="shared" si="468"/>
        <v>0</v>
      </c>
      <c r="AQ439">
        <f t="shared" si="469"/>
        <v>0</v>
      </c>
      <c r="AR439">
        <f t="shared" si="470"/>
        <v>0</v>
      </c>
    </row>
    <row r="440" spans="2:44" x14ac:dyDescent="0.25">
      <c r="B440" s="8"/>
      <c r="F440">
        <f t="shared" si="416"/>
        <v>0</v>
      </c>
      <c r="G440">
        <f t="shared" si="417"/>
        <v>1</v>
      </c>
      <c r="I440" s="121"/>
      <c r="N440" s="4" t="s">
        <v>36</v>
      </c>
      <c r="P440" s="86">
        <v>0</v>
      </c>
      <c r="Q440" s="165">
        <v>0</v>
      </c>
      <c r="R440">
        <v>0</v>
      </c>
      <c r="S440" s="6"/>
      <c r="T440" s="61"/>
      <c r="U440" s="61">
        <f t="shared" si="457"/>
        <v>0</v>
      </c>
      <c r="V440" s="7" t="str">
        <f t="shared" si="458"/>
        <v>NONE</v>
      </c>
      <c r="W440" s="56"/>
      <c r="X440" s="5"/>
      <c r="Y440" s="61">
        <f t="shared" si="433"/>
        <v>0</v>
      </c>
      <c r="Z440" s="61"/>
      <c r="AA440" s="1">
        <f t="shared" si="420"/>
        <v>0</v>
      </c>
      <c r="AB440" s="1">
        <f t="shared" si="459"/>
        <v>0</v>
      </c>
      <c r="AC440" s="1"/>
      <c r="AD440" s="65">
        <f t="shared" si="460"/>
        <v>0</v>
      </c>
      <c r="AE440" s="1"/>
      <c r="AF440" s="1">
        <f t="shared" si="461"/>
        <v>0</v>
      </c>
      <c r="AG440" s="1">
        <f>IF(AH440&gt;0,AH288:AH445,0)</f>
        <v>0</v>
      </c>
      <c r="AH440" s="1">
        <f t="shared" si="462"/>
        <v>0</v>
      </c>
      <c r="AJ440">
        <f t="shared" si="463"/>
        <v>0</v>
      </c>
      <c r="AK440">
        <f t="shared" si="464"/>
        <v>0</v>
      </c>
      <c r="AL440">
        <f t="shared" si="465"/>
        <v>0</v>
      </c>
      <c r="AM440">
        <f t="shared" si="466"/>
        <v>0</v>
      </c>
      <c r="AO440">
        <f t="shared" si="467"/>
        <v>0</v>
      </c>
      <c r="AP440">
        <f t="shared" si="468"/>
        <v>0</v>
      </c>
      <c r="AQ440">
        <f t="shared" si="469"/>
        <v>0</v>
      </c>
      <c r="AR440">
        <f t="shared" si="470"/>
        <v>0</v>
      </c>
    </row>
    <row r="441" spans="2:44" x14ac:dyDescent="0.25">
      <c r="B441" s="8"/>
      <c r="C441" s="8"/>
      <c r="D441" s="8"/>
      <c r="F441">
        <f t="shared" si="416"/>
        <v>0</v>
      </c>
      <c r="G441">
        <f t="shared" si="417"/>
        <v>1</v>
      </c>
      <c r="H441" s="121"/>
      <c r="I441" s="121"/>
      <c r="N441" s="4" t="s">
        <v>36</v>
      </c>
      <c r="P441" s="86">
        <v>0</v>
      </c>
      <c r="Q441" s="165">
        <v>0</v>
      </c>
      <c r="R441">
        <v>0</v>
      </c>
      <c r="S441" s="6"/>
      <c r="T441" s="61"/>
      <c r="U441" s="61">
        <f t="shared" si="457"/>
        <v>0</v>
      </c>
      <c r="V441" s="7" t="str">
        <f t="shared" si="458"/>
        <v>NONE</v>
      </c>
      <c r="W441" s="56"/>
      <c r="X441" s="5"/>
      <c r="Y441" s="61">
        <f t="shared" si="433"/>
        <v>0</v>
      </c>
      <c r="Z441" s="61"/>
      <c r="AA441" s="1">
        <f t="shared" si="420"/>
        <v>0</v>
      </c>
      <c r="AB441" s="1">
        <f t="shared" si="459"/>
        <v>0</v>
      </c>
      <c r="AC441" s="1"/>
      <c r="AD441" s="65">
        <f t="shared" si="460"/>
        <v>0</v>
      </c>
      <c r="AE441" s="1"/>
      <c r="AF441" s="1">
        <f t="shared" si="461"/>
        <v>0</v>
      </c>
      <c r="AG441" s="1">
        <f>IF(AH441&gt;0,AH290:AH441,0)</f>
        <v>0</v>
      </c>
      <c r="AH441" s="1">
        <f t="shared" si="462"/>
        <v>0</v>
      </c>
      <c r="AJ441">
        <f t="shared" si="463"/>
        <v>0</v>
      </c>
      <c r="AK441">
        <f t="shared" si="464"/>
        <v>0</v>
      </c>
      <c r="AL441">
        <f t="shared" si="465"/>
        <v>0</v>
      </c>
      <c r="AM441">
        <f t="shared" si="466"/>
        <v>0</v>
      </c>
      <c r="AO441">
        <f t="shared" si="467"/>
        <v>0</v>
      </c>
      <c r="AP441">
        <f t="shared" si="468"/>
        <v>0</v>
      </c>
      <c r="AQ441">
        <f t="shared" si="469"/>
        <v>0</v>
      </c>
      <c r="AR441">
        <f t="shared" si="470"/>
        <v>0</v>
      </c>
    </row>
    <row r="442" spans="2:44" x14ac:dyDescent="0.25">
      <c r="B442" s="83" t="s">
        <v>82</v>
      </c>
      <c r="E442" t="s">
        <v>42</v>
      </c>
      <c r="F442">
        <f>IF(E442=$B$12,I442,0)</f>
        <v>4</v>
      </c>
      <c r="G442">
        <f t="shared" si="417"/>
        <v>0</v>
      </c>
      <c r="H442" s="245" t="s">
        <v>1233</v>
      </c>
      <c r="I442" s="121">
        <v>4</v>
      </c>
      <c r="K442" t="s">
        <v>1153</v>
      </c>
      <c r="N442" s="4" t="s">
        <v>36</v>
      </c>
      <c r="P442" s="86">
        <v>0</v>
      </c>
      <c r="Q442" s="165">
        <v>0</v>
      </c>
      <c r="R442">
        <v>0</v>
      </c>
      <c r="S442" s="6"/>
      <c r="T442" s="61"/>
      <c r="U442" s="61">
        <f t="shared" si="457"/>
        <v>0</v>
      </c>
      <c r="V442" s="7" t="str">
        <f t="shared" si="458"/>
        <v>NONE</v>
      </c>
      <c r="W442" s="56"/>
      <c r="X442" s="183"/>
      <c r="Y442" s="61">
        <f t="shared" si="433"/>
        <v>0</v>
      </c>
      <c r="Z442" s="61"/>
      <c r="AA442" s="1">
        <f t="shared" si="420"/>
        <v>0</v>
      </c>
      <c r="AB442" s="1">
        <f t="shared" si="459"/>
        <v>130</v>
      </c>
      <c r="AC442" s="1"/>
      <c r="AD442" s="65">
        <f t="shared" si="460"/>
        <v>-130</v>
      </c>
      <c r="AE442" s="1"/>
      <c r="AF442" s="1">
        <f t="shared" si="461"/>
        <v>0</v>
      </c>
      <c r="AG442" s="1">
        <f>IF(AH442&gt;0,AH288:AH442,0)</f>
        <v>0</v>
      </c>
      <c r="AH442" s="1">
        <f t="shared" si="462"/>
        <v>-130</v>
      </c>
      <c r="AJ442">
        <f t="shared" si="463"/>
        <v>0</v>
      </c>
      <c r="AK442">
        <f t="shared" si="464"/>
        <v>0</v>
      </c>
      <c r="AL442">
        <f t="shared" si="465"/>
        <v>0</v>
      </c>
      <c r="AM442">
        <f t="shared" si="466"/>
        <v>0</v>
      </c>
      <c r="AO442">
        <f t="shared" si="467"/>
        <v>0</v>
      </c>
      <c r="AP442">
        <f t="shared" si="468"/>
        <v>0</v>
      </c>
      <c r="AQ442">
        <f t="shared" si="469"/>
        <v>0</v>
      </c>
      <c r="AR442">
        <f t="shared" si="470"/>
        <v>0</v>
      </c>
    </row>
    <row r="443" spans="2:44" x14ac:dyDescent="0.25">
      <c r="B443" s="250" t="s">
        <v>1335</v>
      </c>
      <c r="C443" s="303" t="s">
        <v>1337</v>
      </c>
      <c r="D443" s="248"/>
      <c r="E443" s="317" t="s">
        <v>1129</v>
      </c>
      <c r="F443" s="248">
        <f t="shared" si="416"/>
        <v>0</v>
      </c>
      <c r="G443" s="248">
        <f t="shared" si="417"/>
        <v>1</v>
      </c>
      <c r="H443" s="250" t="s">
        <v>1334</v>
      </c>
      <c r="I443" s="250">
        <v>7</v>
      </c>
      <c r="J443" s="248"/>
      <c r="K443" s="248" t="s">
        <v>864</v>
      </c>
      <c r="N443" s="4" t="s">
        <v>36</v>
      </c>
      <c r="P443" s="86">
        <v>1968.13</v>
      </c>
      <c r="Q443" s="165">
        <v>0</v>
      </c>
      <c r="R443">
        <v>0</v>
      </c>
      <c r="S443" s="310"/>
      <c r="T443" s="311"/>
      <c r="U443" s="61">
        <f t="shared" si="457"/>
        <v>0</v>
      </c>
      <c r="V443" s="7" t="str">
        <f t="shared" si="458"/>
        <v>NONE</v>
      </c>
      <c r="W443" s="56"/>
      <c r="X443" s="5"/>
      <c r="Y443" s="61">
        <f t="shared" si="433"/>
        <v>0</v>
      </c>
      <c r="Z443" s="61"/>
      <c r="AA443" s="1">
        <f t="shared" si="420"/>
        <v>0</v>
      </c>
      <c r="AB443" s="1">
        <f t="shared" si="459"/>
        <v>130</v>
      </c>
      <c r="AC443" s="1"/>
      <c r="AD443" s="65">
        <f t="shared" si="460"/>
        <v>1838.13</v>
      </c>
      <c r="AE443" s="1"/>
      <c r="AF443" s="1">
        <f t="shared" si="461"/>
        <v>30</v>
      </c>
      <c r="AG443" s="1">
        <f>IF(AH443&gt;0,AH290:AH447,0)</f>
        <v>1808.13</v>
      </c>
      <c r="AH443" s="1">
        <f t="shared" si="462"/>
        <v>1808.13</v>
      </c>
      <c r="AJ443">
        <f t="shared" si="463"/>
        <v>0</v>
      </c>
      <c r="AK443">
        <f t="shared" si="464"/>
        <v>0</v>
      </c>
      <c r="AL443">
        <f t="shared" si="465"/>
        <v>0</v>
      </c>
      <c r="AM443">
        <f t="shared" si="466"/>
        <v>0</v>
      </c>
      <c r="AO443">
        <f t="shared" si="467"/>
        <v>0</v>
      </c>
      <c r="AP443">
        <f t="shared" si="468"/>
        <v>0</v>
      </c>
      <c r="AQ443">
        <f t="shared" si="469"/>
        <v>0</v>
      </c>
      <c r="AR443">
        <f t="shared" si="470"/>
        <v>0</v>
      </c>
    </row>
    <row r="444" spans="2:44" x14ac:dyDescent="0.25">
      <c r="B444" s="318" t="s">
        <v>1316</v>
      </c>
      <c r="C444" s="249" t="s">
        <v>1318</v>
      </c>
      <c r="D444" s="253"/>
      <c r="E444" s="250" t="s">
        <v>370</v>
      </c>
      <c r="F444" s="248">
        <f t="shared" si="416"/>
        <v>0</v>
      </c>
      <c r="G444" s="248">
        <f t="shared" si="417"/>
        <v>1</v>
      </c>
      <c r="H444" s="248" t="s">
        <v>1315</v>
      </c>
      <c r="I444" s="250">
        <v>5</v>
      </c>
      <c r="J444" s="248"/>
      <c r="K444" s="248" t="s">
        <v>1319</v>
      </c>
      <c r="L444" s="248"/>
      <c r="M444" s="280"/>
      <c r="N444" s="4" t="s">
        <v>36</v>
      </c>
      <c r="P444" s="86">
        <v>1490.79</v>
      </c>
      <c r="Q444" s="165">
        <v>0</v>
      </c>
      <c r="R444">
        <v>0</v>
      </c>
      <c r="S444" s="293"/>
      <c r="T444" s="294"/>
      <c r="U444" s="61">
        <f t="shared" si="457"/>
        <v>0</v>
      </c>
      <c r="V444" s="7" t="str">
        <f t="shared" si="458"/>
        <v>NONE</v>
      </c>
      <c r="W444" s="56"/>
      <c r="X444" s="292" t="s">
        <v>1317</v>
      </c>
      <c r="Y444" s="61">
        <f t="shared" si="433"/>
        <v>0</v>
      </c>
      <c r="Z444" s="61"/>
      <c r="AA444" s="1">
        <f t="shared" si="420"/>
        <v>0</v>
      </c>
      <c r="AB444" s="1">
        <f t="shared" si="459"/>
        <v>130</v>
      </c>
      <c r="AC444" s="1"/>
      <c r="AD444" s="65">
        <f t="shared" si="460"/>
        <v>1360.79</v>
      </c>
      <c r="AE444" s="1"/>
      <c r="AF444" s="1">
        <f t="shared" si="461"/>
        <v>30</v>
      </c>
      <c r="AG444" s="1">
        <f>IF(AH444&gt;0,AH291:AH444,0)</f>
        <v>1330.79</v>
      </c>
      <c r="AH444" s="1">
        <f t="shared" si="462"/>
        <v>1330.79</v>
      </c>
      <c r="AJ444">
        <f t="shared" si="463"/>
        <v>0</v>
      </c>
      <c r="AK444">
        <f t="shared" si="464"/>
        <v>0</v>
      </c>
      <c r="AL444">
        <f t="shared" si="465"/>
        <v>0</v>
      </c>
      <c r="AM444">
        <f t="shared" si="466"/>
        <v>0</v>
      </c>
      <c r="AO444">
        <f t="shared" si="467"/>
        <v>0</v>
      </c>
      <c r="AP444">
        <f t="shared" si="468"/>
        <v>0</v>
      </c>
      <c r="AQ444">
        <f t="shared" si="469"/>
        <v>0</v>
      </c>
      <c r="AR444">
        <f t="shared" si="470"/>
        <v>0</v>
      </c>
    </row>
    <row r="445" spans="2:44" x14ac:dyDescent="0.25">
      <c r="B445" s="83" t="s">
        <v>82</v>
      </c>
      <c r="E445" t="s">
        <v>42</v>
      </c>
      <c r="F445">
        <f t="shared" si="416"/>
        <v>9</v>
      </c>
      <c r="G445">
        <f t="shared" si="417"/>
        <v>0</v>
      </c>
      <c r="H445" s="167" t="s">
        <v>1192</v>
      </c>
      <c r="I445" s="121">
        <v>9</v>
      </c>
      <c r="K445" t="s">
        <v>1153</v>
      </c>
      <c r="N445" s="4" t="s">
        <v>36</v>
      </c>
      <c r="P445" s="86">
        <v>0</v>
      </c>
      <c r="Q445" s="165">
        <v>0</v>
      </c>
      <c r="R445">
        <v>0</v>
      </c>
      <c r="S445" s="6"/>
      <c r="T445" s="61"/>
      <c r="U445" s="61">
        <f t="shared" si="457"/>
        <v>0</v>
      </c>
      <c r="V445" s="7" t="str">
        <f t="shared" si="458"/>
        <v>NONE</v>
      </c>
      <c r="W445" s="56"/>
      <c r="X445" s="5"/>
      <c r="Y445" s="61">
        <f t="shared" si="433"/>
        <v>0</v>
      </c>
      <c r="Z445" s="61"/>
      <c r="AA445" s="1">
        <f t="shared" si="420"/>
        <v>0</v>
      </c>
      <c r="AB445" s="1">
        <f t="shared" si="459"/>
        <v>130</v>
      </c>
      <c r="AC445" s="1"/>
      <c r="AD445" s="65">
        <f t="shared" si="460"/>
        <v>-130</v>
      </c>
      <c r="AE445" s="1"/>
      <c r="AF445" s="1">
        <f t="shared" si="461"/>
        <v>0</v>
      </c>
      <c r="AG445" s="1">
        <f>IF(AH445&gt;0,AH292:AH445,0)</f>
        <v>0</v>
      </c>
      <c r="AH445" s="1">
        <f t="shared" si="462"/>
        <v>-130</v>
      </c>
      <c r="AJ445">
        <f t="shared" si="463"/>
        <v>0</v>
      </c>
      <c r="AK445">
        <f t="shared" si="464"/>
        <v>0</v>
      </c>
      <c r="AL445">
        <f t="shared" si="465"/>
        <v>0</v>
      </c>
      <c r="AM445">
        <f t="shared" si="466"/>
        <v>0</v>
      </c>
      <c r="AO445">
        <f t="shared" si="467"/>
        <v>0</v>
      </c>
      <c r="AP445">
        <f t="shared" si="468"/>
        <v>0</v>
      </c>
      <c r="AQ445">
        <f t="shared" si="469"/>
        <v>0</v>
      </c>
      <c r="AR445">
        <f t="shared" si="470"/>
        <v>0</v>
      </c>
    </row>
    <row r="446" spans="2:44" x14ac:dyDescent="0.25">
      <c r="B446" s="8"/>
      <c r="F446">
        <f t="shared" si="416"/>
        <v>0</v>
      </c>
      <c r="G446">
        <f t="shared" si="417"/>
        <v>1</v>
      </c>
      <c r="H446" s="121"/>
      <c r="I446" s="121"/>
      <c r="N446" s="4" t="s">
        <v>36</v>
      </c>
      <c r="P446" s="86">
        <v>0</v>
      </c>
      <c r="Q446" s="165">
        <v>0</v>
      </c>
      <c r="R446">
        <v>0</v>
      </c>
      <c r="S446" s="6"/>
      <c r="T446" s="61"/>
      <c r="U446" s="61">
        <f t="shared" si="457"/>
        <v>0</v>
      </c>
      <c r="V446" s="7" t="str">
        <f t="shared" si="458"/>
        <v>NONE</v>
      </c>
      <c r="W446" s="56"/>
      <c r="X446" s="5"/>
      <c r="Y446" s="61">
        <f t="shared" si="433"/>
        <v>0</v>
      </c>
      <c r="Z446" s="61"/>
      <c r="AA446" s="1">
        <f t="shared" si="420"/>
        <v>0</v>
      </c>
      <c r="AB446" s="1">
        <f t="shared" si="459"/>
        <v>0</v>
      </c>
      <c r="AC446" s="1"/>
      <c r="AD446" s="65">
        <f t="shared" si="460"/>
        <v>0</v>
      </c>
      <c r="AE446" s="1"/>
      <c r="AF446" s="1">
        <f t="shared" si="461"/>
        <v>0</v>
      </c>
      <c r="AG446" s="1">
        <f>IF(AH446&gt;0,AH298:AH446,0)</f>
        <v>0</v>
      </c>
      <c r="AH446" s="1">
        <f t="shared" si="462"/>
        <v>0</v>
      </c>
      <c r="AJ446">
        <f t="shared" si="463"/>
        <v>0</v>
      </c>
      <c r="AK446">
        <f t="shared" si="464"/>
        <v>0</v>
      </c>
      <c r="AL446">
        <f t="shared" si="465"/>
        <v>0</v>
      </c>
      <c r="AM446">
        <f t="shared" si="466"/>
        <v>0</v>
      </c>
      <c r="AO446">
        <f t="shared" si="467"/>
        <v>0</v>
      </c>
      <c r="AP446">
        <f t="shared" si="468"/>
        <v>0</v>
      </c>
      <c r="AQ446">
        <f t="shared" si="469"/>
        <v>0</v>
      </c>
      <c r="AR446">
        <f t="shared" si="470"/>
        <v>0</v>
      </c>
    </row>
    <row r="447" spans="2:44" x14ac:dyDescent="0.25">
      <c r="B447" s="8"/>
      <c r="F447">
        <f t="shared" si="416"/>
        <v>0</v>
      </c>
      <c r="G447">
        <f t="shared" si="417"/>
        <v>1</v>
      </c>
      <c r="I447" s="121"/>
      <c r="N447" s="4" t="s">
        <v>36</v>
      </c>
      <c r="P447" s="86">
        <v>0</v>
      </c>
      <c r="Q447" s="165">
        <v>0</v>
      </c>
      <c r="R447">
        <v>0</v>
      </c>
      <c r="S447" s="6"/>
      <c r="T447" s="61"/>
      <c r="U447" s="61">
        <f t="shared" si="457"/>
        <v>0</v>
      </c>
      <c r="V447" s="7" t="str">
        <f t="shared" si="458"/>
        <v>NONE</v>
      </c>
      <c r="W447" s="56"/>
      <c r="X447" s="5"/>
      <c r="Y447" s="61">
        <f t="shared" si="433"/>
        <v>0</v>
      </c>
      <c r="Z447" s="61"/>
      <c r="AA447" s="1">
        <f t="shared" si="420"/>
        <v>0</v>
      </c>
      <c r="AB447" s="1">
        <f t="shared" si="459"/>
        <v>0</v>
      </c>
      <c r="AC447" s="1"/>
      <c r="AD447" s="65">
        <f t="shared" si="460"/>
        <v>0</v>
      </c>
      <c r="AE447" s="1"/>
      <c r="AF447" s="1">
        <f t="shared" si="461"/>
        <v>0</v>
      </c>
      <c r="AG447" s="1">
        <f>IF(AH447&gt;0,AH299:AH447,0)</f>
        <v>0</v>
      </c>
      <c r="AH447" s="1">
        <f t="shared" si="462"/>
        <v>0</v>
      </c>
      <c r="AJ447">
        <f t="shared" si="463"/>
        <v>0</v>
      </c>
      <c r="AK447">
        <f t="shared" si="464"/>
        <v>0</v>
      </c>
      <c r="AL447">
        <f t="shared" si="465"/>
        <v>0</v>
      </c>
      <c r="AM447">
        <f t="shared" si="466"/>
        <v>0</v>
      </c>
      <c r="AO447">
        <f t="shared" si="467"/>
        <v>0</v>
      </c>
      <c r="AP447">
        <f t="shared" si="468"/>
        <v>0</v>
      </c>
      <c r="AQ447">
        <f t="shared" si="469"/>
        <v>0</v>
      </c>
      <c r="AR447">
        <f t="shared" si="470"/>
        <v>0</v>
      </c>
    </row>
    <row r="448" spans="2:44" x14ac:dyDescent="0.25">
      <c r="F448">
        <f t="shared" si="416"/>
        <v>0</v>
      </c>
      <c r="G448">
        <f t="shared" si="417"/>
        <v>1</v>
      </c>
      <c r="I448" s="121"/>
      <c r="N448" s="4" t="s">
        <v>36</v>
      </c>
      <c r="P448" s="86">
        <v>0</v>
      </c>
      <c r="Q448" s="165">
        <v>0</v>
      </c>
      <c r="R448">
        <v>0</v>
      </c>
      <c r="S448" s="6"/>
      <c r="T448" s="61"/>
      <c r="U448" s="61">
        <f t="shared" si="457"/>
        <v>0</v>
      </c>
      <c r="V448" s="7" t="str">
        <f t="shared" si="458"/>
        <v>NONE</v>
      </c>
      <c r="W448" s="56"/>
      <c r="X448" s="5"/>
      <c r="Y448" s="61">
        <f t="shared" si="433"/>
        <v>0</v>
      </c>
      <c r="Z448" s="61"/>
      <c r="AA448" s="1">
        <f t="shared" si="420"/>
        <v>0</v>
      </c>
      <c r="AB448" s="1">
        <f t="shared" si="459"/>
        <v>0</v>
      </c>
      <c r="AC448" s="1"/>
      <c r="AD448" s="65">
        <f t="shared" si="460"/>
        <v>0</v>
      </c>
      <c r="AE448" s="1"/>
      <c r="AF448" s="1">
        <f t="shared" si="461"/>
        <v>0</v>
      </c>
      <c r="AG448" s="1">
        <f>IF(AH448&gt;0,AH298:AH448,0)</f>
        <v>0</v>
      </c>
      <c r="AH448" s="1">
        <f t="shared" si="462"/>
        <v>0</v>
      </c>
      <c r="AJ448">
        <f t="shared" si="463"/>
        <v>0</v>
      </c>
      <c r="AK448">
        <f t="shared" si="464"/>
        <v>0</v>
      </c>
      <c r="AL448">
        <f t="shared" si="465"/>
        <v>0</v>
      </c>
      <c r="AM448">
        <f t="shared" si="466"/>
        <v>0</v>
      </c>
      <c r="AO448">
        <f t="shared" si="467"/>
        <v>0</v>
      </c>
      <c r="AP448">
        <f t="shared" si="468"/>
        <v>0</v>
      </c>
      <c r="AQ448">
        <f t="shared" si="469"/>
        <v>0</v>
      </c>
      <c r="AR448">
        <f t="shared" si="470"/>
        <v>0</v>
      </c>
    </row>
    <row r="449" spans="1:45" x14ac:dyDescent="0.25">
      <c r="C449" s="8"/>
      <c r="D449" s="8"/>
      <c r="F449">
        <f t="shared" si="416"/>
        <v>0</v>
      </c>
      <c r="G449">
        <f t="shared" si="417"/>
        <v>1</v>
      </c>
      <c r="H449" s="121"/>
      <c r="I449" s="121"/>
      <c r="N449" s="4" t="s">
        <v>36</v>
      </c>
      <c r="P449" s="86">
        <v>0</v>
      </c>
      <c r="Q449" s="165">
        <v>0</v>
      </c>
      <c r="R449">
        <v>0</v>
      </c>
      <c r="S449" s="6"/>
      <c r="T449" s="61"/>
      <c r="U449" s="61">
        <f t="shared" si="457"/>
        <v>0</v>
      </c>
      <c r="V449" s="7" t="str">
        <f t="shared" si="458"/>
        <v>NONE</v>
      </c>
      <c r="W449" s="56"/>
      <c r="X449" s="5"/>
      <c r="Y449" s="61">
        <f t="shared" si="433"/>
        <v>0</v>
      </c>
      <c r="Z449" s="61"/>
      <c r="AA449" s="1">
        <f t="shared" si="420"/>
        <v>0</v>
      </c>
      <c r="AB449" s="1">
        <f t="shared" si="459"/>
        <v>0</v>
      </c>
      <c r="AC449" s="1"/>
      <c r="AD449" s="65">
        <f t="shared" si="460"/>
        <v>0</v>
      </c>
      <c r="AE449" s="1"/>
      <c r="AF449" s="1">
        <f t="shared" si="461"/>
        <v>0</v>
      </c>
      <c r="AG449" s="1">
        <f>IF(AH449&gt;0,AH300:AH449,0)</f>
        <v>0</v>
      </c>
      <c r="AH449" s="1">
        <f t="shared" si="462"/>
        <v>0</v>
      </c>
      <c r="AJ449">
        <f t="shared" si="463"/>
        <v>0</v>
      </c>
      <c r="AK449">
        <f t="shared" si="464"/>
        <v>0</v>
      </c>
      <c r="AL449">
        <f t="shared" si="465"/>
        <v>0</v>
      </c>
      <c r="AM449">
        <f t="shared" si="466"/>
        <v>0</v>
      </c>
      <c r="AO449">
        <f t="shared" si="467"/>
        <v>0</v>
      </c>
      <c r="AP449">
        <f t="shared" si="468"/>
        <v>0</v>
      </c>
      <c r="AQ449">
        <f t="shared" si="469"/>
        <v>0</v>
      </c>
      <c r="AR449">
        <f t="shared" si="470"/>
        <v>0</v>
      </c>
    </row>
    <row r="450" spans="1:45" x14ac:dyDescent="0.25">
      <c r="B450" s="8"/>
      <c r="C450" s="8"/>
      <c r="D450" s="8"/>
      <c r="F450">
        <f t="shared" si="416"/>
        <v>0</v>
      </c>
      <c r="G450">
        <f t="shared" si="417"/>
        <v>1</v>
      </c>
      <c r="I450" s="121"/>
      <c r="N450" s="4" t="s">
        <v>36</v>
      </c>
      <c r="P450" s="86">
        <v>0</v>
      </c>
      <c r="Q450" s="165">
        <v>0</v>
      </c>
      <c r="R450">
        <v>0</v>
      </c>
      <c r="S450" s="6"/>
      <c r="T450" s="61"/>
      <c r="U450" s="61">
        <f t="shared" si="457"/>
        <v>0</v>
      </c>
      <c r="V450" s="7" t="str">
        <f t="shared" si="458"/>
        <v>NONE</v>
      </c>
      <c r="W450" s="56"/>
      <c r="X450" s="5"/>
      <c r="Y450" s="61">
        <f t="shared" si="433"/>
        <v>0</v>
      </c>
      <c r="Z450" s="61"/>
      <c r="AA450" s="1">
        <f t="shared" si="420"/>
        <v>0</v>
      </c>
      <c r="AB450" s="1">
        <f t="shared" si="459"/>
        <v>0</v>
      </c>
      <c r="AC450" s="1"/>
      <c r="AD450" s="65">
        <f t="shared" si="460"/>
        <v>0</v>
      </c>
      <c r="AE450" s="1"/>
      <c r="AF450" s="1">
        <f t="shared" si="461"/>
        <v>0</v>
      </c>
      <c r="AG450" s="1">
        <f>IF(AH450&gt;0,AH300:AH450,0)</f>
        <v>0</v>
      </c>
      <c r="AH450" s="1">
        <f t="shared" si="462"/>
        <v>0</v>
      </c>
      <c r="AJ450">
        <f t="shared" si="463"/>
        <v>0</v>
      </c>
      <c r="AK450">
        <f t="shared" si="464"/>
        <v>0</v>
      </c>
      <c r="AL450">
        <f t="shared" si="465"/>
        <v>0</v>
      </c>
      <c r="AM450">
        <f t="shared" si="466"/>
        <v>0</v>
      </c>
      <c r="AO450">
        <f t="shared" si="467"/>
        <v>0</v>
      </c>
      <c r="AP450">
        <f t="shared" si="468"/>
        <v>0</v>
      </c>
      <c r="AQ450">
        <f t="shared" si="469"/>
        <v>0</v>
      </c>
      <c r="AR450">
        <f t="shared" si="470"/>
        <v>0</v>
      </c>
    </row>
    <row r="451" spans="1:45" x14ac:dyDescent="0.25">
      <c r="B451" s="83"/>
      <c r="F451">
        <f t="shared" si="416"/>
        <v>0</v>
      </c>
      <c r="G451">
        <f t="shared" si="417"/>
        <v>1</v>
      </c>
      <c r="I451" s="121"/>
      <c r="N451" s="4"/>
      <c r="P451" s="86">
        <v>0</v>
      </c>
      <c r="Q451" s="165">
        <v>0</v>
      </c>
      <c r="R451">
        <v>0</v>
      </c>
      <c r="S451" s="6"/>
      <c r="T451" s="61"/>
      <c r="U451" s="61">
        <f t="shared" si="457"/>
        <v>0</v>
      </c>
      <c r="V451" s="7" t="str">
        <f t="shared" si="458"/>
        <v>NONE</v>
      </c>
      <c r="W451" s="56"/>
      <c r="X451" s="5"/>
      <c r="Y451" s="61">
        <f t="shared" si="433"/>
        <v>0</v>
      </c>
      <c r="Z451" s="61"/>
      <c r="AA451" s="1">
        <f t="shared" si="420"/>
        <v>0</v>
      </c>
      <c r="AB451" s="1">
        <f t="shared" si="459"/>
        <v>0</v>
      </c>
      <c r="AC451" s="1"/>
      <c r="AD451" s="65">
        <f t="shared" si="460"/>
        <v>0</v>
      </c>
      <c r="AE451" s="1"/>
      <c r="AF451" s="1">
        <f t="shared" si="461"/>
        <v>0</v>
      </c>
      <c r="AG451" s="1">
        <f>IF(AH451&gt;0,AH299:AH451,0)</f>
        <v>0</v>
      </c>
      <c r="AH451" s="1">
        <f t="shared" si="462"/>
        <v>0</v>
      </c>
      <c r="AJ451">
        <f t="shared" si="463"/>
        <v>0</v>
      </c>
      <c r="AK451">
        <f t="shared" si="464"/>
        <v>0</v>
      </c>
      <c r="AL451">
        <f t="shared" si="465"/>
        <v>0</v>
      </c>
      <c r="AM451">
        <f t="shared" si="466"/>
        <v>0</v>
      </c>
      <c r="AO451">
        <f t="shared" si="467"/>
        <v>0</v>
      </c>
      <c r="AP451">
        <f t="shared" si="468"/>
        <v>0</v>
      </c>
      <c r="AQ451">
        <f t="shared" si="469"/>
        <v>0</v>
      </c>
      <c r="AR451">
        <f t="shared" si="470"/>
        <v>0</v>
      </c>
    </row>
    <row r="452" spans="1:45" x14ac:dyDescent="0.25">
      <c r="A452" s="40"/>
      <c r="B452" s="155">
        <f>COUNTIFS(E412:E451,"&lt;&gt;"&amp;B13)-COUNTIFS(E412:E451,"="&amp;B12)</f>
        <v>12</v>
      </c>
      <c r="C452" s="284" t="s">
        <v>1275</v>
      </c>
      <c r="D452" s="285">
        <f>COUNTIFS(E412:E451,"=FS")</f>
        <v>6</v>
      </c>
      <c r="E452" s="155">
        <f>SUM(F412:F451)</f>
        <v>69</v>
      </c>
      <c r="F452" s="40"/>
      <c r="G452" s="40"/>
      <c r="H452" s="283" t="s">
        <v>1274</v>
      </c>
      <c r="I452" s="53">
        <f>SUM(I412:I451)-SUM(F412:F451)</f>
        <v>116</v>
      </c>
      <c r="J452" s="53"/>
      <c r="K452" s="53">
        <f>ROUND(I452/7,0)</f>
        <v>17</v>
      </c>
      <c r="L452" s="52" t="s">
        <v>214</v>
      </c>
      <c r="M452" s="54" t="s">
        <v>216</v>
      </c>
      <c r="N452" s="123">
        <f>ROUND(AG452/K452,0)</f>
        <v>1931</v>
      </c>
      <c r="O452" s="40"/>
      <c r="P452" s="71">
        <f>SUM(P412:P451)</f>
        <v>34232.228000000003</v>
      </c>
      <c r="Q452" s="43"/>
      <c r="R452" s="69">
        <f>AA452</f>
        <v>13700.038</v>
      </c>
      <c r="S452" s="68" t="s">
        <v>1280</v>
      </c>
      <c r="T452" s="101"/>
      <c r="U452" s="62"/>
      <c r="V452" s="42"/>
      <c r="W452" s="42"/>
      <c r="X452" s="41"/>
      <c r="Y452" s="43"/>
      <c r="Z452" s="43">
        <f>AA452</f>
        <v>13700.038</v>
      </c>
      <c r="AA452" s="43">
        <f>SUM(AA412:AA451)</f>
        <v>13700.038</v>
      </c>
      <c r="AB452" s="43">
        <f>SUM(AB412:AB451)</f>
        <v>2470</v>
      </c>
      <c r="AC452" s="43">
        <f>AB452</f>
        <v>2470</v>
      </c>
      <c r="AD452" s="40"/>
      <c r="AE452" s="43"/>
      <c r="AF452" s="43">
        <f>SUM(AF412:AF451)</f>
        <v>330</v>
      </c>
      <c r="AG452" s="43">
        <f>SUM(AG412:AG451)</f>
        <v>32822.228000000003</v>
      </c>
      <c r="AH452" s="71">
        <f>SUM(AH412:AH451)</f>
        <v>31432.228000000003</v>
      </c>
      <c r="AI452" s="40">
        <f>AH452</f>
        <v>31432.228000000003</v>
      </c>
      <c r="AJ452" s="104">
        <f>SUM(AJ412:AJ451)</f>
        <v>0</v>
      </c>
      <c r="AK452" s="104">
        <f>SUM(AK412:AK451)</f>
        <v>0</v>
      </c>
      <c r="AL452" s="104">
        <f>SUM(AL412:AL451)</f>
        <v>0</v>
      </c>
      <c r="AM452" s="104">
        <f>SUM(AM412:AM451)</f>
        <v>0</v>
      </c>
      <c r="AN452" s="106">
        <f>SUM(AJ452:AM452)</f>
        <v>0</v>
      </c>
      <c r="AO452" s="104">
        <f>SUM(AO412:AO451)</f>
        <v>0</v>
      </c>
      <c r="AP452" s="104">
        <f>SUM(AP412:AP451)</f>
        <v>0</v>
      </c>
      <c r="AQ452" s="104">
        <f>SUM(AQ412:AQ451)</f>
        <v>0</v>
      </c>
      <c r="AR452" s="104">
        <f>SUM(AR412:AR451)</f>
        <v>0</v>
      </c>
      <c r="AS452" s="106">
        <f>SUM(AO452:AR452)</f>
        <v>0</v>
      </c>
    </row>
    <row r="453" spans="1:45" ht="21" customHeight="1" x14ac:dyDescent="0.35">
      <c r="A453" s="105"/>
      <c r="B453" s="122">
        <v>2021</v>
      </c>
      <c r="C453" s="107"/>
      <c r="D453" s="107"/>
      <c r="E453" s="105"/>
      <c r="F453" s="105"/>
      <c r="G453" s="105"/>
      <c r="H453" s="108"/>
      <c r="I453" s="109"/>
      <c r="J453" s="109"/>
      <c r="K453" s="110"/>
      <c r="L453" s="110"/>
      <c r="M453" s="108"/>
      <c r="N453" s="111"/>
      <c r="O453" s="105"/>
      <c r="P453" s="112"/>
      <c r="Q453" s="113"/>
      <c r="R453" s="114"/>
      <c r="S453" s="115"/>
      <c r="T453" s="116"/>
      <c r="U453" s="117"/>
      <c r="V453" s="118"/>
      <c r="W453" s="118"/>
      <c r="X453" s="119"/>
      <c r="Y453" s="113"/>
      <c r="Z453" s="113"/>
      <c r="AA453" s="113"/>
      <c r="AB453" s="113"/>
      <c r="AC453" s="113"/>
      <c r="AD453" s="105"/>
      <c r="AE453" s="113"/>
      <c r="AF453" s="113"/>
      <c r="AG453" s="113"/>
      <c r="AH453" s="112"/>
      <c r="AI453" s="105"/>
      <c r="AJ453" s="96">
        <f>ROUNDUP(AJ452*0.05,0)</f>
        <v>0</v>
      </c>
      <c r="AK453" s="96">
        <f>ROUNDUP(AK452*0.05,0)</f>
        <v>0</v>
      </c>
      <c r="AL453" s="96">
        <f>ROUNDUP(AL452*0.05,0)</f>
        <v>0</v>
      </c>
      <c r="AM453" s="96">
        <f>ROUNDUP(AM452*0.05,0)</f>
        <v>0</v>
      </c>
      <c r="AN453" s="106">
        <f>SUM(AJ453:AM453)</f>
        <v>0</v>
      </c>
      <c r="AO453" s="96">
        <f>ROUNDUP(AO452*0.06,0)</f>
        <v>0</v>
      </c>
      <c r="AP453" s="96">
        <f>ROUNDUP(AP452*0.06,0)</f>
        <v>0</v>
      </c>
      <c r="AQ453" s="96">
        <f>ROUNDUP(AQ452*0.06,0)</f>
        <v>0</v>
      </c>
      <c r="AR453" s="96">
        <f>ROUNDUP(AR452*0.06,0)</f>
        <v>0</v>
      </c>
      <c r="AS453" s="106">
        <f>SUM(AO453:AR453)</f>
        <v>0</v>
      </c>
    </row>
    <row r="454" spans="1:45" ht="18.75" x14ac:dyDescent="0.35">
      <c r="B454" s="319" t="s">
        <v>1352</v>
      </c>
      <c r="C454" s="248" t="s">
        <v>1355</v>
      </c>
      <c r="D454" s="248"/>
      <c r="E454" s="248" t="s">
        <v>1129</v>
      </c>
      <c r="F454" s="248">
        <f t="shared" ref="F454:F461" si="471">IF(E454=$B$12,I454,0)</f>
        <v>0</v>
      </c>
      <c r="G454" s="248">
        <f t="shared" ref="G454:G461" si="472">IF(F454&gt;0,0,1)</f>
        <v>1</v>
      </c>
      <c r="H454" s="248" t="s">
        <v>1350</v>
      </c>
      <c r="I454" s="250">
        <v>7</v>
      </c>
      <c r="J454" s="248"/>
      <c r="K454" s="248" t="s">
        <v>1351</v>
      </c>
      <c r="M454" s="183" t="s">
        <v>1353</v>
      </c>
      <c r="N454" s="4" t="s">
        <v>36</v>
      </c>
      <c r="P454" s="86">
        <v>2484.17</v>
      </c>
      <c r="Q454" s="165">
        <v>0</v>
      </c>
      <c r="R454">
        <v>2484.17</v>
      </c>
      <c r="S454" s="198" t="s">
        <v>1354</v>
      </c>
      <c r="T454" s="61"/>
      <c r="U454" s="61">
        <f t="shared" ref="U454:U470" si="473">IF(V454=$AE$2,47,IF(V454=$AE$1,ROUND(((P454+500)*0.039),0),IF(V454=$AE$3,0)))</f>
        <v>0</v>
      </c>
      <c r="V454" s="7" t="str">
        <f t="shared" ref="V454:V465" si="474">IF(W454=1,$AE$2,IF(W454=2,$AE$1,IF(AND(W454&lt;&gt;1,W454&lt;&gt;20)=TRUE,$AE$3)))</f>
        <v>NONE</v>
      </c>
      <c r="W454" s="56"/>
      <c r="X454" s="5"/>
      <c r="Y454" s="61">
        <f t="shared" ref="Y454:Y499" si="475">R454+Q454</f>
        <v>2484.17</v>
      </c>
      <c r="Z454" s="61"/>
      <c r="AA454" s="1">
        <f t="shared" ref="AA454:AA499" si="476">IF(X454=$AA$1,R454-500, IF(S454="SITE",R454, IF(X454="A/D/F1/500",R454, 0)))</f>
        <v>0</v>
      </c>
      <c r="AB454" s="1">
        <f t="shared" ref="AB454:AB465" si="477">IF(I454&gt;0,130,0)</f>
        <v>130</v>
      </c>
      <c r="AC454" s="1"/>
      <c r="AD454" s="65">
        <f t="shared" ref="AD454:AD465" si="478">(P454+U454)-AB454</f>
        <v>2354.17</v>
      </c>
      <c r="AE454" s="1"/>
      <c r="AF454" s="1">
        <f t="shared" ref="AF454:AF465" si="479">IF(I454&gt;0,30*G454,0)</f>
        <v>30</v>
      </c>
      <c r="AG454" s="1">
        <f>IF(AH454&gt;0,AH329:AH454,0)</f>
        <v>2324.17</v>
      </c>
      <c r="AH454" s="1">
        <f t="shared" ref="AH454:AH460" si="480">AD454-AF454</f>
        <v>2324.17</v>
      </c>
      <c r="AJ454">
        <f t="shared" ref="AJ454:AJ460" si="481">IF(T454=1,P454-U454,0)</f>
        <v>0</v>
      </c>
      <c r="AK454">
        <f t="shared" ref="AK454:AK460" si="482">IF(T454=2,P454-U454,0)</f>
        <v>0</v>
      </c>
      <c r="AL454">
        <f t="shared" ref="AL454:AL460" si="483">IF(T454=3,P454-U454,0)</f>
        <v>0</v>
      </c>
      <c r="AM454">
        <f t="shared" ref="AM454:AM460" si="484">IF(T454=4,P454-U454,0)</f>
        <v>0</v>
      </c>
      <c r="AO454">
        <f t="shared" ref="AO454:AO460" si="485">IF(T454=1,P454-U454,0)</f>
        <v>0</v>
      </c>
      <c r="AP454">
        <f t="shared" ref="AP454:AP460" si="486">IF(T454=2,P454-U454,0)</f>
        <v>0</v>
      </c>
      <c r="AQ454">
        <f t="shared" ref="AQ454:AQ460" si="487">IF(T454=3,P454-U454,0)</f>
        <v>0</v>
      </c>
      <c r="AR454">
        <f t="shared" ref="AR454:AR460" si="488">IF(T454=4,P454-U454,0)</f>
        <v>0</v>
      </c>
    </row>
    <row r="455" spans="1:45" x14ac:dyDescent="0.25">
      <c r="B455" s="299" t="s">
        <v>1356</v>
      </c>
      <c r="C455" s="303" t="s">
        <v>1358</v>
      </c>
      <c r="D455" s="249"/>
      <c r="E455" s="248" t="s">
        <v>899</v>
      </c>
      <c r="F455" s="248"/>
      <c r="G455" s="248"/>
      <c r="H455" s="248" t="s">
        <v>1357</v>
      </c>
      <c r="I455" s="250">
        <v>6</v>
      </c>
      <c r="J455" s="248"/>
      <c r="K455" s="248" t="s">
        <v>777</v>
      </c>
      <c r="L455" s="248"/>
      <c r="M455" s="280" t="s">
        <v>1359</v>
      </c>
      <c r="N455" s="4" t="s">
        <v>36</v>
      </c>
      <c r="P455" s="86">
        <v>2100</v>
      </c>
      <c r="Q455" s="165">
        <v>500</v>
      </c>
      <c r="R455">
        <v>0</v>
      </c>
      <c r="S455" s="316" t="s">
        <v>1368</v>
      </c>
      <c r="T455" s="314"/>
      <c r="U455" s="61">
        <f t="shared" si="473"/>
        <v>0</v>
      </c>
      <c r="V455" s="7" t="str">
        <f t="shared" si="474"/>
        <v>NONE</v>
      </c>
      <c r="W455" s="56"/>
      <c r="X455" s="5"/>
      <c r="Y455" s="61">
        <f t="shared" si="475"/>
        <v>500</v>
      </c>
      <c r="Z455" s="61"/>
      <c r="AA455" s="1">
        <f t="shared" si="476"/>
        <v>0</v>
      </c>
      <c r="AB455" s="1">
        <f t="shared" si="477"/>
        <v>130</v>
      </c>
      <c r="AC455" s="1"/>
      <c r="AD455" s="65">
        <f t="shared" si="478"/>
        <v>1970</v>
      </c>
      <c r="AE455" s="1"/>
      <c r="AF455" s="1">
        <f t="shared" si="479"/>
        <v>0</v>
      </c>
      <c r="AG455" s="1">
        <f>IF(AH455&gt;0,AH313:AH455,0)</f>
        <v>1970</v>
      </c>
      <c r="AH455" s="1">
        <f t="shared" si="480"/>
        <v>1970</v>
      </c>
      <c r="AJ455">
        <f t="shared" si="481"/>
        <v>0</v>
      </c>
      <c r="AK455">
        <f t="shared" si="482"/>
        <v>0</v>
      </c>
      <c r="AL455">
        <f t="shared" si="483"/>
        <v>0</v>
      </c>
      <c r="AM455">
        <f t="shared" si="484"/>
        <v>0</v>
      </c>
      <c r="AO455">
        <f t="shared" si="485"/>
        <v>0</v>
      </c>
      <c r="AP455">
        <f t="shared" si="486"/>
        <v>0</v>
      </c>
      <c r="AQ455">
        <f t="shared" si="487"/>
        <v>0</v>
      </c>
      <c r="AR455">
        <f t="shared" si="488"/>
        <v>0</v>
      </c>
    </row>
    <row r="456" spans="1:45" x14ac:dyDescent="0.25">
      <c r="B456" s="83" t="s">
        <v>82</v>
      </c>
      <c r="C456" s="8"/>
      <c r="D456" s="8"/>
      <c r="E456" t="s">
        <v>42</v>
      </c>
      <c r="F456">
        <f t="shared" si="471"/>
        <v>3</v>
      </c>
      <c r="G456">
        <f t="shared" si="472"/>
        <v>0</v>
      </c>
      <c r="H456" s="167"/>
      <c r="I456" s="121">
        <v>3</v>
      </c>
      <c r="N456" s="4" t="s">
        <v>36</v>
      </c>
      <c r="P456" s="86">
        <v>0</v>
      </c>
      <c r="Q456" s="165">
        <v>0</v>
      </c>
      <c r="R456">
        <v>0</v>
      </c>
      <c r="S456" s="6"/>
      <c r="T456" s="61"/>
      <c r="U456" s="61">
        <f t="shared" si="473"/>
        <v>0</v>
      </c>
      <c r="V456" s="7" t="str">
        <f t="shared" si="474"/>
        <v>NONE</v>
      </c>
      <c r="W456" s="56"/>
      <c r="X456" s="5"/>
      <c r="Y456" s="61">
        <f t="shared" si="475"/>
        <v>0</v>
      </c>
      <c r="Z456" s="61"/>
      <c r="AA456" s="1">
        <f t="shared" si="476"/>
        <v>0</v>
      </c>
      <c r="AB456" s="1">
        <f t="shared" si="477"/>
        <v>130</v>
      </c>
      <c r="AC456" s="1"/>
      <c r="AD456" s="65">
        <f t="shared" si="478"/>
        <v>-130</v>
      </c>
      <c r="AE456" s="1"/>
      <c r="AF456" s="1">
        <f t="shared" si="479"/>
        <v>0</v>
      </c>
      <c r="AG456" s="1">
        <f>IF(AH456&gt;0,AH315:AH456,0)</f>
        <v>0</v>
      </c>
      <c r="AH456" s="1">
        <f t="shared" si="480"/>
        <v>-130</v>
      </c>
      <c r="AJ456">
        <f t="shared" si="481"/>
        <v>0</v>
      </c>
      <c r="AK456">
        <f t="shared" si="482"/>
        <v>0</v>
      </c>
      <c r="AL456">
        <f t="shared" si="483"/>
        <v>0</v>
      </c>
      <c r="AM456">
        <f t="shared" si="484"/>
        <v>0</v>
      </c>
      <c r="AO456">
        <f t="shared" si="485"/>
        <v>0</v>
      </c>
      <c r="AP456">
        <f t="shared" si="486"/>
        <v>0</v>
      </c>
      <c r="AQ456">
        <f t="shared" si="487"/>
        <v>0</v>
      </c>
      <c r="AR456">
        <f t="shared" si="488"/>
        <v>0</v>
      </c>
    </row>
    <row r="457" spans="1:45" x14ac:dyDescent="0.25">
      <c r="B457" s="253" t="s">
        <v>1321</v>
      </c>
      <c r="C457" s="248" t="s">
        <v>866</v>
      </c>
      <c r="D457" s="249"/>
      <c r="E457" s="287" t="s">
        <v>899</v>
      </c>
      <c r="F457" s="248">
        <f t="shared" si="471"/>
        <v>0</v>
      </c>
      <c r="G457" s="248">
        <f t="shared" si="472"/>
        <v>1</v>
      </c>
      <c r="H457" s="250"/>
      <c r="I457" s="121">
        <v>25</v>
      </c>
      <c r="K457" t="s">
        <v>777</v>
      </c>
      <c r="N457" s="4" t="s">
        <v>36</v>
      </c>
      <c r="P457" s="86">
        <v>0</v>
      </c>
      <c r="Q457" s="165">
        <v>0</v>
      </c>
      <c r="R457">
        <v>0</v>
      </c>
      <c r="S457" s="297"/>
      <c r="T457" s="61"/>
      <c r="U457" s="61">
        <f t="shared" si="473"/>
        <v>0</v>
      </c>
      <c r="V457" s="7" t="str">
        <f t="shared" si="474"/>
        <v>NONE</v>
      </c>
      <c r="W457" s="56"/>
      <c r="X457" s="5"/>
      <c r="Y457" s="61">
        <f t="shared" si="475"/>
        <v>0</v>
      </c>
      <c r="Z457" s="61"/>
      <c r="AA457" s="1">
        <f t="shared" si="476"/>
        <v>0</v>
      </c>
      <c r="AB457" s="1">
        <f t="shared" si="477"/>
        <v>130</v>
      </c>
      <c r="AC457" s="1"/>
      <c r="AD457" s="65">
        <f t="shared" si="478"/>
        <v>-130</v>
      </c>
      <c r="AE457" s="1"/>
      <c r="AF457" s="1">
        <f t="shared" si="479"/>
        <v>30</v>
      </c>
      <c r="AG457" s="1">
        <f>IF(AH457&gt;0,AH314:AH474,0)</f>
        <v>0</v>
      </c>
      <c r="AH457" s="1">
        <f t="shared" si="480"/>
        <v>-160</v>
      </c>
      <c r="AJ457">
        <f t="shared" si="481"/>
        <v>0</v>
      </c>
      <c r="AK457">
        <f t="shared" si="482"/>
        <v>0</v>
      </c>
      <c r="AL457">
        <f t="shared" si="483"/>
        <v>0</v>
      </c>
      <c r="AM457">
        <f t="shared" si="484"/>
        <v>0</v>
      </c>
      <c r="AO457">
        <f t="shared" si="485"/>
        <v>0</v>
      </c>
      <c r="AP457">
        <f t="shared" si="486"/>
        <v>0</v>
      </c>
      <c r="AQ457">
        <f t="shared" si="487"/>
        <v>0</v>
      </c>
      <c r="AR457">
        <f t="shared" si="488"/>
        <v>0</v>
      </c>
    </row>
    <row r="458" spans="1:45" x14ac:dyDescent="0.25">
      <c r="B458" s="250" t="s">
        <v>1173</v>
      </c>
      <c r="C458" s="248" t="s">
        <v>1172</v>
      </c>
      <c r="D458" s="249"/>
      <c r="E458" s="248" t="s">
        <v>899</v>
      </c>
      <c r="F458" s="248">
        <f>IF(E458=$B$12,I458,0)</f>
        <v>0</v>
      </c>
      <c r="G458" s="248">
        <f>IF(F458&gt;0,0,1)</f>
        <v>1</v>
      </c>
      <c r="H458" s="248" t="s">
        <v>1322</v>
      </c>
      <c r="I458" s="121">
        <v>6</v>
      </c>
      <c r="K458" t="s">
        <v>1375</v>
      </c>
      <c r="N458" s="4" t="s">
        <v>36</v>
      </c>
      <c r="P458" s="86">
        <v>2548.15</v>
      </c>
      <c r="Q458" s="165">
        <f>P458/2</f>
        <v>1274.075</v>
      </c>
      <c r="R458" s="296">
        <f>Q458+500</f>
        <v>1774.075</v>
      </c>
      <c r="S458" s="309" t="s">
        <v>1336</v>
      </c>
      <c r="T458" s="61"/>
      <c r="U458" s="61">
        <f>IF(V458=$AE$2,47,IF(V458=$AE$1,ROUND(((P458+500)*0.039),0),IF(V458=$AE$3,0)))</f>
        <v>0</v>
      </c>
      <c r="V458" s="7" t="str">
        <f>IF(W458=1,$AE$2,IF(W458=2,$AE$1,IF(AND(W458&lt;&gt;1,W458&lt;&gt;20)=TRUE,$AE$3)))</f>
        <v>NONE</v>
      </c>
      <c r="W458" s="56"/>
      <c r="X458" s="5"/>
      <c r="Y458" s="61">
        <f>R458+Q458</f>
        <v>3048.15</v>
      </c>
      <c r="Z458" s="61"/>
      <c r="AA458" s="1">
        <f>IF(X458=$AA$1,R458-500, IF(S458="SITE",R458, IF(X458="A/D/F1/500",R458, 0)))</f>
        <v>0</v>
      </c>
      <c r="AB458" s="1">
        <f>IF(I458&gt;0,130,0)</f>
        <v>130</v>
      </c>
      <c r="AC458" s="1"/>
      <c r="AD458" s="65">
        <f>(P458+U458)-AB458</f>
        <v>2418.15</v>
      </c>
      <c r="AE458" s="1"/>
      <c r="AF458" s="1">
        <f>IF(I458&gt;0,30*G458,0)</f>
        <v>30</v>
      </c>
      <c r="AG458" s="1">
        <f>IF(AH458&gt;0,AH314:AH458,0)</f>
        <v>2388.15</v>
      </c>
      <c r="AH458" s="1">
        <f>AD458-AF458</f>
        <v>2388.15</v>
      </c>
      <c r="AJ458">
        <f>IF(T458=1,P458-U458,0)</f>
        <v>0</v>
      </c>
      <c r="AK458">
        <f>IF(T458=2,P458-U458,0)</f>
        <v>0</v>
      </c>
      <c r="AL458">
        <f>IF(T458=3,P458-U458,0)</f>
        <v>0</v>
      </c>
      <c r="AM458">
        <f>IF(T458=4,P458-U458,0)</f>
        <v>0</v>
      </c>
      <c r="AO458">
        <f>IF(T458=1,P458-U458,0)</f>
        <v>0</v>
      </c>
      <c r="AP458">
        <f>IF(T458=2,P458-U458,0)</f>
        <v>0</v>
      </c>
      <c r="AQ458">
        <f>IF(T458=3,P458-U458,0)</f>
        <v>0</v>
      </c>
      <c r="AR458">
        <f>IF(T458=4,P458-U458,0)</f>
        <v>0</v>
      </c>
    </row>
    <row r="459" spans="1:45" x14ac:dyDescent="0.25">
      <c r="B459" s="250" t="s">
        <v>1381</v>
      </c>
      <c r="C459" s="248" t="s">
        <v>1330</v>
      </c>
      <c r="D459" s="249"/>
      <c r="E459" s="248" t="s">
        <v>370</v>
      </c>
      <c r="F459" s="248">
        <f t="shared" si="471"/>
        <v>0</v>
      </c>
      <c r="G459" s="248">
        <f t="shared" si="472"/>
        <v>1</v>
      </c>
      <c r="H459" s="248" t="s">
        <v>1329</v>
      </c>
      <c r="I459" s="121">
        <v>19</v>
      </c>
      <c r="K459" t="s">
        <v>1331</v>
      </c>
      <c r="N459" s="4" t="s">
        <v>36</v>
      </c>
      <c r="P459" s="86">
        <v>5773.72</v>
      </c>
      <c r="Q459" s="165">
        <v>0</v>
      </c>
      <c r="R459">
        <v>5773.72</v>
      </c>
      <c r="S459" s="6"/>
      <c r="T459" s="61"/>
      <c r="U459" s="61">
        <f t="shared" si="473"/>
        <v>0</v>
      </c>
      <c r="V459" s="7" t="str">
        <f t="shared" si="474"/>
        <v>NONE</v>
      </c>
      <c r="W459" s="56"/>
      <c r="X459" s="5"/>
      <c r="Y459" s="61">
        <f t="shared" si="475"/>
        <v>5773.72</v>
      </c>
      <c r="Z459" s="61"/>
      <c r="AA459" s="1">
        <f t="shared" si="476"/>
        <v>0</v>
      </c>
      <c r="AB459" s="1">
        <f t="shared" si="477"/>
        <v>130</v>
      </c>
      <c r="AC459" s="1"/>
      <c r="AD459" s="65">
        <f t="shared" si="478"/>
        <v>5643.72</v>
      </c>
      <c r="AE459" s="1"/>
      <c r="AF459" s="1">
        <f t="shared" si="479"/>
        <v>30</v>
      </c>
      <c r="AG459" s="1">
        <f>IF(AH459&gt;0,AH315:AH459,0)</f>
        <v>5613.72</v>
      </c>
      <c r="AH459" s="1">
        <f t="shared" si="480"/>
        <v>5613.72</v>
      </c>
      <c r="AJ459">
        <f t="shared" si="481"/>
        <v>0</v>
      </c>
      <c r="AK459">
        <f t="shared" si="482"/>
        <v>0</v>
      </c>
      <c r="AL459">
        <f t="shared" si="483"/>
        <v>0</v>
      </c>
      <c r="AM459">
        <f t="shared" si="484"/>
        <v>0</v>
      </c>
      <c r="AO459">
        <f t="shared" si="485"/>
        <v>0</v>
      </c>
      <c r="AP459">
        <f t="shared" si="486"/>
        <v>0</v>
      </c>
      <c r="AQ459">
        <f t="shared" si="487"/>
        <v>0</v>
      </c>
      <c r="AR459">
        <f t="shared" si="488"/>
        <v>0</v>
      </c>
    </row>
    <row r="460" spans="1:45" ht="17.45" customHeight="1" x14ac:dyDescent="0.4">
      <c r="B460" s="83" t="s">
        <v>82</v>
      </c>
      <c r="C460" s="261"/>
      <c r="D460" s="261"/>
      <c r="E460" t="s">
        <v>42</v>
      </c>
      <c r="F460">
        <f t="shared" si="471"/>
        <v>3</v>
      </c>
      <c r="G460">
        <f t="shared" si="472"/>
        <v>0</v>
      </c>
      <c r="H460" s="245" t="s">
        <v>1234</v>
      </c>
      <c r="I460" s="121">
        <v>3</v>
      </c>
      <c r="M460" s="183"/>
      <c r="N460" s="4" t="s">
        <v>36</v>
      </c>
      <c r="P460" s="86">
        <v>0</v>
      </c>
      <c r="Q460" s="165">
        <v>0</v>
      </c>
      <c r="R460">
        <v>0</v>
      </c>
      <c r="S460" s="6"/>
      <c r="T460" s="61"/>
      <c r="U460" s="61">
        <f t="shared" si="473"/>
        <v>0</v>
      </c>
      <c r="V460" s="7" t="str">
        <f t="shared" si="474"/>
        <v>NONE</v>
      </c>
      <c r="W460" s="56"/>
      <c r="X460" s="5"/>
      <c r="Y460" s="61">
        <f t="shared" si="475"/>
        <v>0</v>
      </c>
      <c r="Z460" s="61"/>
      <c r="AA460" s="1">
        <f t="shared" si="476"/>
        <v>0</v>
      </c>
      <c r="AB460" s="1">
        <f t="shared" si="477"/>
        <v>130</v>
      </c>
      <c r="AC460" s="1"/>
      <c r="AD460" s="65">
        <f t="shared" si="478"/>
        <v>-130</v>
      </c>
      <c r="AE460" s="1"/>
      <c r="AF460" s="1">
        <f t="shared" si="479"/>
        <v>0</v>
      </c>
      <c r="AG460" s="1">
        <f>IF(AH460&gt;0,AH325:AH460,0)</f>
        <v>0</v>
      </c>
      <c r="AH460" s="1">
        <f t="shared" si="480"/>
        <v>-130</v>
      </c>
      <c r="AJ460">
        <f t="shared" si="481"/>
        <v>0</v>
      </c>
      <c r="AK460">
        <f t="shared" si="482"/>
        <v>0</v>
      </c>
      <c r="AL460">
        <f t="shared" si="483"/>
        <v>0</v>
      </c>
      <c r="AM460">
        <f t="shared" si="484"/>
        <v>0</v>
      </c>
      <c r="AO460">
        <f t="shared" si="485"/>
        <v>0</v>
      </c>
      <c r="AP460">
        <f t="shared" si="486"/>
        <v>0</v>
      </c>
      <c r="AQ460">
        <f t="shared" si="487"/>
        <v>0</v>
      </c>
      <c r="AR460">
        <f t="shared" si="488"/>
        <v>0</v>
      </c>
    </row>
    <row r="461" spans="1:45" x14ac:dyDescent="0.25">
      <c r="B461" s="253" t="s">
        <v>1380</v>
      </c>
      <c r="C461" s="327" t="s">
        <v>1310</v>
      </c>
      <c r="D461" s="254"/>
      <c r="E461" s="248" t="s">
        <v>370</v>
      </c>
      <c r="F461" s="248">
        <f t="shared" si="471"/>
        <v>0</v>
      </c>
      <c r="G461" s="248">
        <f t="shared" si="472"/>
        <v>1</v>
      </c>
      <c r="H461" s="248" t="s">
        <v>1308</v>
      </c>
      <c r="I461" s="250">
        <v>10</v>
      </c>
      <c r="J461" s="248"/>
      <c r="K461" s="248" t="s">
        <v>1060</v>
      </c>
      <c r="L461" s="248"/>
      <c r="M461" s="280"/>
      <c r="N461" s="4" t="s">
        <v>36</v>
      </c>
      <c r="P461" s="86">
        <v>3587.39</v>
      </c>
      <c r="Q461" s="165">
        <v>0</v>
      </c>
      <c r="R461">
        <v>3587.39</v>
      </c>
      <c r="S461" s="145" t="s">
        <v>1313</v>
      </c>
      <c r="T461" s="61"/>
      <c r="U461" s="61">
        <f t="shared" si="473"/>
        <v>0</v>
      </c>
      <c r="V461" s="7" t="str">
        <f t="shared" si="474"/>
        <v>NONE</v>
      </c>
      <c r="W461" s="56"/>
      <c r="X461" s="5"/>
      <c r="Y461" s="61">
        <f t="shared" si="475"/>
        <v>3587.39</v>
      </c>
      <c r="Z461" s="61"/>
      <c r="AA461" s="1">
        <f t="shared" si="476"/>
        <v>0</v>
      </c>
      <c r="AB461" s="1">
        <f t="shared" si="477"/>
        <v>130</v>
      </c>
      <c r="AC461" s="1"/>
      <c r="AD461" s="65">
        <f t="shared" si="478"/>
        <v>3457.39</v>
      </c>
      <c r="AE461" s="1"/>
      <c r="AF461" s="1">
        <f t="shared" si="479"/>
        <v>30</v>
      </c>
      <c r="AG461" s="1">
        <f>IF(AH461&gt;0,AH304:AH461,0)</f>
        <v>3427.39</v>
      </c>
      <c r="AH461" s="1">
        <f t="shared" ref="AH461:AH472" si="489">AD461-AF461</f>
        <v>3427.39</v>
      </c>
      <c r="AJ461">
        <f t="shared" ref="AJ461:AJ472" si="490">IF(T461=1,P461-U461,0)</f>
        <v>0</v>
      </c>
      <c r="AK461">
        <f t="shared" ref="AK461:AK472" si="491">IF(T461=2,P461-U461,0)</f>
        <v>0</v>
      </c>
      <c r="AL461">
        <f t="shared" ref="AL461:AL472" si="492">IF(T461=3,P461-U461,0)</f>
        <v>0</v>
      </c>
      <c r="AM461">
        <f t="shared" ref="AM461:AM472" si="493">IF(T461=4,P461-U461,0)</f>
        <v>0</v>
      </c>
      <c r="AO461">
        <f t="shared" ref="AO461:AO472" si="494">IF(T461=1,P461-U461,0)</f>
        <v>0</v>
      </c>
      <c r="AP461">
        <f t="shared" ref="AP461:AP472" si="495">IF(T461=2,P461-U461,0)</f>
        <v>0</v>
      </c>
      <c r="AQ461">
        <f t="shared" ref="AQ461:AQ472" si="496">IF(T461=3,P461-U461,0)</f>
        <v>0</v>
      </c>
      <c r="AR461">
        <f t="shared" ref="AR461:AR472" si="497">IF(T461=4,P461-U461,0)</f>
        <v>0</v>
      </c>
    </row>
    <row r="462" spans="1:45" x14ac:dyDescent="0.25">
      <c r="B462" s="302" t="s">
        <v>1384</v>
      </c>
      <c r="C462" s="312" t="s">
        <v>1383</v>
      </c>
      <c r="D462" s="248"/>
      <c r="E462" s="287" t="s">
        <v>370</v>
      </c>
      <c r="F462" s="248"/>
      <c r="G462" s="248"/>
      <c r="H462" s="248" t="s">
        <v>1382</v>
      </c>
      <c r="I462" s="121">
        <v>7</v>
      </c>
      <c r="K462" s="248" t="s">
        <v>1146</v>
      </c>
      <c r="N462" s="4" t="s">
        <v>36</v>
      </c>
      <c r="P462" s="86">
        <v>2834.11</v>
      </c>
      <c r="Q462" s="165">
        <v>0</v>
      </c>
      <c r="R462" s="298">
        <v>0</v>
      </c>
      <c r="S462" s="309" t="s">
        <v>1341</v>
      </c>
      <c r="T462" s="314"/>
      <c r="U462" s="314">
        <f t="shared" si="473"/>
        <v>0</v>
      </c>
      <c r="V462" s="7" t="str">
        <f>IF(W462=1,$AE$2,IF(W462=2,$AE$1,IF(AND(W462&lt;&gt;1,W462&lt;&gt;20)=TRUE,$AE$3)))</f>
        <v>NONE</v>
      </c>
      <c r="W462" s="56"/>
      <c r="X462" s="5"/>
      <c r="Y462" s="61">
        <f t="shared" si="475"/>
        <v>0</v>
      </c>
      <c r="Z462" s="61"/>
      <c r="AA462" s="1">
        <f t="shared" si="476"/>
        <v>0</v>
      </c>
      <c r="AB462" s="1">
        <f>IF(I462&gt;0,130,0)</f>
        <v>130</v>
      </c>
      <c r="AC462" s="1"/>
      <c r="AD462" s="65">
        <f>(P462+U462)-AB462</f>
        <v>2704.11</v>
      </c>
      <c r="AE462" s="1"/>
      <c r="AF462" s="1">
        <f>IF(I462&gt;0,30*G462,0)</f>
        <v>0</v>
      </c>
      <c r="AG462" s="1">
        <f>IF(AH462&gt;0,AH315:AH462,0)</f>
        <v>2704.11</v>
      </c>
      <c r="AH462" s="1">
        <f t="shared" si="489"/>
        <v>2704.11</v>
      </c>
      <c r="AJ462">
        <f t="shared" si="490"/>
        <v>0</v>
      </c>
      <c r="AK462">
        <f t="shared" si="491"/>
        <v>0</v>
      </c>
      <c r="AL462">
        <f t="shared" si="492"/>
        <v>0</v>
      </c>
      <c r="AM462">
        <f t="shared" si="493"/>
        <v>0</v>
      </c>
      <c r="AO462">
        <f t="shared" si="494"/>
        <v>0</v>
      </c>
      <c r="AP462">
        <f t="shared" si="495"/>
        <v>0</v>
      </c>
      <c r="AQ462">
        <f t="shared" si="496"/>
        <v>0</v>
      </c>
      <c r="AR462">
        <f t="shared" si="497"/>
        <v>0</v>
      </c>
    </row>
    <row r="463" spans="1:45" x14ac:dyDescent="0.25">
      <c r="B463" s="302" t="s">
        <v>1340</v>
      </c>
      <c r="C463" s="312" t="s">
        <v>1339</v>
      </c>
      <c r="D463" s="248"/>
      <c r="E463" s="287" t="s">
        <v>370</v>
      </c>
      <c r="F463" s="248"/>
      <c r="G463" s="248"/>
      <c r="H463" s="248" t="s">
        <v>1338</v>
      </c>
      <c r="I463" s="121">
        <v>7</v>
      </c>
      <c r="K463" s="248" t="s">
        <v>1386</v>
      </c>
      <c r="N463" s="4" t="s">
        <v>36</v>
      </c>
      <c r="P463" s="86">
        <v>2393.11</v>
      </c>
      <c r="Q463" s="165">
        <v>0</v>
      </c>
      <c r="R463" s="298">
        <v>0</v>
      </c>
      <c r="S463" s="309" t="s">
        <v>1341</v>
      </c>
      <c r="T463" s="314"/>
      <c r="U463" s="314">
        <f>IF(V463=$AE$2,47,IF(V463=$AE$1,ROUND(((P463+500)*0.039),0),IF(V463=$AE$3,0)))</f>
        <v>0</v>
      </c>
      <c r="V463" s="7" t="str">
        <f t="shared" si="474"/>
        <v>NONE</v>
      </c>
      <c r="W463" s="56"/>
      <c r="X463" s="5"/>
      <c r="Y463" s="61">
        <f>R463+Q463</f>
        <v>0</v>
      </c>
      <c r="Z463" s="61"/>
      <c r="AA463" s="1">
        <f>IF(X463=$AA$1,R463-500, IF(S463="SITE",R463, IF(X463="A/D/F1/500",R463, 0)))</f>
        <v>0</v>
      </c>
      <c r="AB463" s="1">
        <f t="shared" si="477"/>
        <v>130</v>
      </c>
      <c r="AC463" s="1"/>
      <c r="AD463" s="65">
        <f t="shared" si="478"/>
        <v>2263.11</v>
      </c>
      <c r="AE463" s="1"/>
      <c r="AF463" s="1">
        <f t="shared" si="479"/>
        <v>0</v>
      </c>
      <c r="AG463" s="1">
        <f>IF(AH463&gt;0,AH316:AH463,0)</f>
        <v>2263.11</v>
      </c>
      <c r="AH463" s="1">
        <f t="shared" si="489"/>
        <v>2263.11</v>
      </c>
      <c r="AJ463">
        <f t="shared" si="490"/>
        <v>0</v>
      </c>
      <c r="AK463">
        <f t="shared" si="491"/>
        <v>0</v>
      </c>
      <c r="AL463">
        <f t="shared" si="492"/>
        <v>0</v>
      </c>
      <c r="AM463">
        <f t="shared" si="493"/>
        <v>0</v>
      </c>
      <c r="AO463">
        <f t="shared" si="494"/>
        <v>0</v>
      </c>
      <c r="AP463">
        <f t="shared" si="495"/>
        <v>0</v>
      </c>
      <c r="AQ463">
        <f t="shared" si="496"/>
        <v>0</v>
      </c>
      <c r="AR463">
        <f t="shared" si="497"/>
        <v>0</v>
      </c>
    </row>
    <row r="464" spans="1:45" x14ac:dyDescent="0.25">
      <c r="B464" s="302" t="s">
        <v>1303</v>
      </c>
      <c r="C464" s="248" t="s">
        <v>1385</v>
      </c>
      <c r="D464" s="248"/>
      <c r="E464" s="287" t="s">
        <v>370</v>
      </c>
      <c r="F464" s="248"/>
      <c r="G464" s="248"/>
      <c r="H464" s="250" t="s">
        <v>1302</v>
      </c>
      <c r="I464" s="250">
        <v>6</v>
      </c>
      <c r="J464" s="248"/>
      <c r="K464" s="250" t="s">
        <v>1320</v>
      </c>
      <c r="L464" s="248"/>
      <c r="M464" s="280"/>
      <c r="N464" s="4" t="s">
        <v>36</v>
      </c>
      <c r="P464" s="86">
        <v>2086.04</v>
      </c>
      <c r="Q464" s="165">
        <v>0</v>
      </c>
      <c r="R464">
        <v>2086.04</v>
      </c>
      <c r="S464" s="315" t="s">
        <v>1314</v>
      </c>
      <c r="T464" s="314"/>
      <c r="U464" s="314">
        <f t="shared" si="473"/>
        <v>0</v>
      </c>
      <c r="V464" s="7" t="str">
        <f t="shared" si="474"/>
        <v>NONE</v>
      </c>
      <c r="W464" s="56"/>
      <c r="X464" s="5"/>
      <c r="Y464" s="61">
        <f t="shared" si="475"/>
        <v>2086.04</v>
      </c>
      <c r="Z464" s="61"/>
      <c r="AA464" s="1">
        <f t="shared" si="476"/>
        <v>0</v>
      </c>
      <c r="AB464" s="1">
        <f t="shared" si="477"/>
        <v>130</v>
      </c>
      <c r="AC464" s="1"/>
      <c r="AD464" s="65">
        <f t="shared" si="478"/>
        <v>1956.04</v>
      </c>
      <c r="AE464" s="1"/>
      <c r="AF464" s="1">
        <f t="shared" si="479"/>
        <v>0</v>
      </c>
      <c r="AG464" s="1">
        <f>IF(AH464&gt;0,AH318:AH479,0)</f>
        <v>1956.04</v>
      </c>
      <c r="AH464" s="1">
        <f t="shared" si="489"/>
        <v>1956.04</v>
      </c>
      <c r="AJ464">
        <f t="shared" si="490"/>
        <v>0</v>
      </c>
      <c r="AK464">
        <f t="shared" si="491"/>
        <v>0</v>
      </c>
      <c r="AL464">
        <f t="shared" si="492"/>
        <v>0</v>
      </c>
      <c r="AM464">
        <f t="shared" si="493"/>
        <v>0</v>
      </c>
      <c r="AO464">
        <f t="shared" si="494"/>
        <v>0</v>
      </c>
      <c r="AP464">
        <f t="shared" si="495"/>
        <v>0</v>
      </c>
      <c r="AQ464">
        <f t="shared" si="496"/>
        <v>0</v>
      </c>
      <c r="AR464">
        <f t="shared" si="497"/>
        <v>0</v>
      </c>
    </row>
    <row r="465" spans="2:44" x14ac:dyDescent="0.25">
      <c r="B465" s="302" t="s">
        <v>1327</v>
      </c>
      <c r="C465" s="303" t="s">
        <v>1328</v>
      </c>
      <c r="D465" s="248"/>
      <c r="E465" s="287" t="s">
        <v>370</v>
      </c>
      <c r="F465" s="248">
        <f>IF(E465=$B$12,I465,0)</f>
        <v>0</v>
      </c>
      <c r="G465" s="248">
        <f>IF(F465&gt;0,0,1)</f>
        <v>1</v>
      </c>
      <c r="H465" s="248" t="s">
        <v>1326</v>
      </c>
      <c r="I465" s="121">
        <v>5</v>
      </c>
      <c r="K465" s="248" t="s">
        <v>864</v>
      </c>
      <c r="N465" s="4" t="s">
        <v>36</v>
      </c>
      <c r="P465" s="86">
        <v>1841.97</v>
      </c>
      <c r="Q465" s="165">
        <v>0</v>
      </c>
      <c r="R465">
        <v>1841.97</v>
      </c>
      <c r="S465" s="279" t="s">
        <v>1341</v>
      </c>
      <c r="T465" s="314"/>
      <c r="U465" s="314">
        <f>IF(V465=$AE$2,47,IF(V465=$AE$1,ROUND(((P465+500)*0.039),0),IF(V465=$AE$3,0)))</f>
        <v>0</v>
      </c>
      <c r="V465" s="7" t="str">
        <f t="shared" si="474"/>
        <v>NONE</v>
      </c>
      <c r="W465" s="56"/>
      <c r="X465" s="5"/>
      <c r="Y465" s="61">
        <f>R465+Q465</f>
        <v>1841.97</v>
      </c>
      <c r="Z465" s="61"/>
      <c r="AA465" s="1">
        <f>IF(X465=$AA$1,R465-500, IF(S465="SITE",R465, IF(X465="A/D/F1/500",R465, 0)))</f>
        <v>0</v>
      </c>
      <c r="AB465" s="1">
        <f t="shared" si="477"/>
        <v>130</v>
      </c>
      <c r="AC465" s="1"/>
      <c r="AD465" s="65">
        <f t="shared" si="478"/>
        <v>1711.97</v>
      </c>
      <c r="AE465" s="1"/>
      <c r="AF465" s="1">
        <f t="shared" si="479"/>
        <v>30</v>
      </c>
      <c r="AG465" s="1">
        <f>IF(AH465&gt;0,AH317:AH465,0)</f>
        <v>1681.97</v>
      </c>
      <c r="AH465" s="1">
        <f t="shared" si="489"/>
        <v>1681.97</v>
      </c>
      <c r="AJ465">
        <f t="shared" si="490"/>
        <v>0</v>
      </c>
      <c r="AK465">
        <f t="shared" si="491"/>
        <v>0</v>
      </c>
      <c r="AL465">
        <f t="shared" si="492"/>
        <v>0</v>
      </c>
      <c r="AM465">
        <f t="shared" si="493"/>
        <v>0</v>
      </c>
      <c r="AO465">
        <f t="shared" si="494"/>
        <v>0</v>
      </c>
      <c r="AP465">
        <f t="shared" si="495"/>
        <v>0</v>
      </c>
      <c r="AQ465">
        <f t="shared" si="496"/>
        <v>0</v>
      </c>
      <c r="AR465">
        <f t="shared" si="497"/>
        <v>0</v>
      </c>
    </row>
    <row r="466" spans="2:44" x14ac:dyDescent="0.25">
      <c r="B466" s="83" t="s">
        <v>82</v>
      </c>
      <c r="C466" s="78"/>
      <c r="D466" s="78"/>
      <c r="E466" t="s">
        <v>42</v>
      </c>
      <c r="F466">
        <f t="shared" ref="F466:F499" si="498">IF(E466=$B$12,I466,0)</f>
        <v>2</v>
      </c>
      <c r="G466">
        <f t="shared" ref="G466:G499" si="499">IF(F466&gt;0,0,1)</f>
        <v>0</v>
      </c>
      <c r="H466" s="246" t="s">
        <v>1235</v>
      </c>
      <c r="I466" s="121">
        <v>2</v>
      </c>
      <c r="J466" s="48"/>
      <c r="M466" s="51"/>
      <c r="N466" s="4" t="s">
        <v>36</v>
      </c>
      <c r="P466" s="86">
        <v>0</v>
      </c>
      <c r="Q466" s="165">
        <v>0</v>
      </c>
      <c r="R466">
        <v>0</v>
      </c>
      <c r="S466" s="279"/>
      <c r="T466" s="314"/>
      <c r="U466" s="314">
        <f t="shared" si="473"/>
        <v>0</v>
      </c>
      <c r="V466" s="7" t="str">
        <f t="shared" ref="V466:V472" si="500">IF(W466=1,$AE$2,IF(W466=2,$AE$1,IF(AND(W466&lt;&gt;1,W466&lt;&gt;20)=TRUE,$AE$3)))</f>
        <v>NONE</v>
      </c>
      <c r="W466" s="56"/>
      <c r="X466" s="5"/>
      <c r="Y466" s="61">
        <f t="shared" si="475"/>
        <v>0</v>
      </c>
      <c r="Z466" s="61"/>
      <c r="AA466" s="1">
        <f t="shared" si="476"/>
        <v>0</v>
      </c>
      <c r="AB466" s="1">
        <f t="shared" ref="AB466:AB472" si="501">IF(I466&gt;0,130,0)</f>
        <v>130</v>
      </c>
      <c r="AC466" s="1"/>
      <c r="AD466" s="65">
        <f t="shared" ref="AD466:AD472" si="502">(P466+U466)-AB466</f>
        <v>-130</v>
      </c>
      <c r="AE466" s="1"/>
      <c r="AF466" s="1">
        <f t="shared" ref="AF466:AF472" si="503">IF(I466&gt;0,30*G466,0)</f>
        <v>0</v>
      </c>
      <c r="AG466" s="1">
        <f>IF(AH466&gt;0,AH327:AH466,0)</f>
        <v>0</v>
      </c>
      <c r="AH466" s="1">
        <f t="shared" si="489"/>
        <v>-130</v>
      </c>
      <c r="AJ466">
        <f t="shared" si="490"/>
        <v>0</v>
      </c>
      <c r="AK466">
        <f t="shared" si="491"/>
        <v>0</v>
      </c>
      <c r="AL466">
        <f t="shared" si="492"/>
        <v>0</v>
      </c>
      <c r="AM466">
        <f t="shared" si="493"/>
        <v>0</v>
      </c>
      <c r="AO466">
        <f t="shared" si="494"/>
        <v>0</v>
      </c>
      <c r="AP466">
        <f t="shared" si="495"/>
        <v>0</v>
      </c>
      <c r="AQ466">
        <f t="shared" si="496"/>
        <v>0</v>
      </c>
      <c r="AR466">
        <f t="shared" si="497"/>
        <v>0</v>
      </c>
    </row>
    <row r="467" spans="2:44" x14ac:dyDescent="0.25">
      <c r="B467" s="253" t="s">
        <v>1371</v>
      </c>
      <c r="C467" s="248" t="s">
        <v>1374</v>
      </c>
      <c r="D467" s="253"/>
      <c r="E467" s="287" t="s">
        <v>370</v>
      </c>
      <c r="F467" s="248">
        <f>IF(E467=$B$12,I467,0)</f>
        <v>0</v>
      </c>
      <c r="G467" s="248">
        <f>IF(F467&gt;0,0,1)</f>
        <v>1</v>
      </c>
      <c r="H467" s="250" t="s">
        <v>1372</v>
      </c>
      <c r="I467" s="121">
        <v>5</v>
      </c>
      <c r="K467" t="s">
        <v>1373</v>
      </c>
      <c r="M467" s="183" t="s">
        <v>1341</v>
      </c>
      <c r="N467" s="4" t="s">
        <v>36</v>
      </c>
      <c r="P467" s="86">
        <v>2045.25</v>
      </c>
      <c r="Q467" s="165">
        <v>0</v>
      </c>
      <c r="R467">
        <v>0</v>
      </c>
      <c r="S467" s="329" t="s">
        <v>1405</v>
      </c>
      <c r="T467" s="61"/>
      <c r="U467" s="61">
        <f t="shared" si="473"/>
        <v>0</v>
      </c>
      <c r="V467" s="7" t="str">
        <f t="shared" si="500"/>
        <v>NONE</v>
      </c>
      <c r="W467" s="56"/>
      <c r="X467" s="5"/>
      <c r="Y467" s="61">
        <f>R467+Q467</f>
        <v>0</v>
      </c>
      <c r="Z467" s="61"/>
      <c r="AA467" s="1">
        <f>IF(X467=$AA$1,R467-500, IF(S467="SITE",R467, IF(X467="A/D/F1/500",R467, 0)))</f>
        <v>0</v>
      </c>
      <c r="AB467" s="1">
        <f t="shared" si="501"/>
        <v>130</v>
      </c>
      <c r="AC467" s="1"/>
      <c r="AD467" s="65">
        <f t="shared" si="502"/>
        <v>1915.25</v>
      </c>
      <c r="AE467" s="1"/>
      <c r="AF467" s="1">
        <f t="shared" si="503"/>
        <v>30</v>
      </c>
      <c r="AG467" s="1">
        <f>IF(AH467&gt;0,AH313:AH467,0)</f>
        <v>1885.25</v>
      </c>
      <c r="AH467" s="1">
        <f t="shared" si="489"/>
        <v>1885.25</v>
      </c>
      <c r="AJ467">
        <f t="shared" si="490"/>
        <v>0</v>
      </c>
      <c r="AK467">
        <f t="shared" si="491"/>
        <v>0</v>
      </c>
      <c r="AL467">
        <f t="shared" si="492"/>
        <v>0</v>
      </c>
      <c r="AM467">
        <f t="shared" si="493"/>
        <v>0</v>
      </c>
      <c r="AO467">
        <f t="shared" si="494"/>
        <v>0</v>
      </c>
      <c r="AP467">
        <f t="shared" si="495"/>
        <v>0</v>
      </c>
      <c r="AQ467">
        <f t="shared" si="496"/>
        <v>0</v>
      </c>
      <c r="AR467">
        <f t="shared" si="497"/>
        <v>0</v>
      </c>
    </row>
    <row r="468" spans="2:44" ht="16.5" x14ac:dyDescent="0.3">
      <c r="B468" s="251" t="s">
        <v>1347</v>
      </c>
      <c r="C468" s="303" t="s">
        <v>929</v>
      </c>
      <c r="D468" s="248"/>
      <c r="E468" s="287" t="s">
        <v>899</v>
      </c>
      <c r="F468" s="248"/>
      <c r="G468" s="248"/>
      <c r="H468" s="248" t="s">
        <v>1346</v>
      </c>
      <c r="I468" s="250">
        <v>7</v>
      </c>
      <c r="J468" s="248"/>
      <c r="K468" s="248" t="s">
        <v>1348</v>
      </c>
      <c r="L468" s="248"/>
      <c r="M468" s="280"/>
      <c r="N468" s="4" t="s">
        <v>36</v>
      </c>
      <c r="P468" s="86">
        <v>2200</v>
      </c>
      <c r="Q468" s="165">
        <v>500</v>
      </c>
      <c r="R468">
        <v>2200</v>
      </c>
      <c r="S468" s="309" t="s">
        <v>1349</v>
      </c>
      <c r="T468" s="314"/>
      <c r="U468" s="314">
        <f t="shared" si="473"/>
        <v>0</v>
      </c>
      <c r="V468" s="7" t="str">
        <f t="shared" si="500"/>
        <v>NONE</v>
      </c>
      <c r="W468" s="56"/>
      <c r="X468" s="5"/>
      <c r="Y468" s="61">
        <f t="shared" si="475"/>
        <v>2700</v>
      </c>
      <c r="Z468" s="61"/>
      <c r="AA468" s="1">
        <f t="shared" si="476"/>
        <v>0</v>
      </c>
      <c r="AB468" s="1">
        <f t="shared" si="501"/>
        <v>130</v>
      </c>
      <c r="AC468" s="1"/>
      <c r="AD468" s="65">
        <f t="shared" si="502"/>
        <v>2070</v>
      </c>
      <c r="AE468" s="1"/>
      <c r="AF468" s="1">
        <f t="shared" si="503"/>
        <v>0</v>
      </c>
      <c r="AG468" s="1">
        <f>IF(AH468&gt;0,AH319:AH468,0)</f>
        <v>2070</v>
      </c>
      <c r="AH468" s="1">
        <f t="shared" si="489"/>
        <v>2070</v>
      </c>
      <c r="AJ468">
        <f t="shared" si="490"/>
        <v>0</v>
      </c>
      <c r="AK468">
        <f t="shared" si="491"/>
        <v>0</v>
      </c>
      <c r="AL468">
        <f t="shared" si="492"/>
        <v>0</v>
      </c>
      <c r="AM468">
        <f t="shared" si="493"/>
        <v>0</v>
      </c>
      <c r="AO468">
        <f t="shared" si="494"/>
        <v>0</v>
      </c>
      <c r="AP468">
        <f t="shared" si="495"/>
        <v>0</v>
      </c>
      <c r="AQ468">
        <f t="shared" si="496"/>
        <v>0</v>
      </c>
      <c r="AR468">
        <f t="shared" si="497"/>
        <v>0</v>
      </c>
    </row>
    <row r="469" spans="2:44" ht="14.1" customHeight="1" x14ac:dyDescent="0.25">
      <c r="B469" s="248" t="s">
        <v>1366</v>
      </c>
      <c r="C469" s="248" t="s">
        <v>1367</v>
      </c>
      <c r="D469" s="321"/>
      <c r="E469" s="321" t="s">
        <v>1129</v>
      </c>
      <c r="F469" s="322">
        <f t="shared" si="498"/>
        <v>0</v>
      </c>
      <c r="G469" s="322">
        <f t="shared" si="499"/>
        <v>1</v>
      </c>
      <c r="H469" s="323" t="s">
        <v>1364</v>
      </c>
      <c r="I469" s="250">
        <v>5</v>
      </c>
      <c r="J469" s="248"/>
      <c r="K469" s="248" t="s">
        <v>1365</v>
      </c>
      <c r="L469" s="248"/>
      <c r="M469" s="280"/>
      <c r="N469" s="4" t="s">
        <v>36</v>
      </c>
      <c r="P469" s="86">
        <v>1760.55</v>
      </c>
      <c r="Q469" s="165">
        <v>0</v>
      </c>
      <c r="R469">
        <v>0</v>
      </c>
      <c r="S469" s="325" t="s">
        <v>1379</v>
      </c>
      <c r="T469" s="61"/>
      <c r="U469" s="61">
        <f t="shared" si="473"/>
        <v>0</v>
      </c>
      <c r="V469" s="7" t="str">
        <f t="shared" si="500"/>
        <v>NONE</v>
      </c>
      <c r="W469" s="56"/>
      <c r="X469" s="5"/>
      <c r="Y469" s="61">
        <f t="shared" si="475"/>
        <v>0</v>
      </c>
      <c r="Z469" s="61"/>
      <c r="AA469" s="1">
        <f t="shared" si="476"/>
        <v>0</v>
      </c>
      <c r="AB469" s="1">
        <f t="shared" si="501"/>
        <v>130</v>
      </c>
      <c r="AC469" s="1"/>
      <c r="AD469" s="65">
        <f t="shared" si="502"/>
        <v>1630.55</v>
      </c>
      <c r="AE469" s="1"/>
      <c r="AF469" s="1">
        <f t="shared" si="503"/>
        <v>30</v>
      </c>
      <c r="AG469" s="1">
        <f>IF(AH469&gt;0,AH321:AH490,0)</f>
        <v>1600.55</v>
      </c>
      <c r="AH469" s="1">
        <f t="shared" si="489"/>
        <v>1600.55</v>
      </c>
      <c r="AJ469">
        <f t="shared" si="490"/>
        <v>0</v>
      </c>
      <c r="AK469">
        <f t="shared" si="491"/>
        <v>0</v>
      </c>
      <c r="AL469">
        <f t="shared" si="492"/>
        <v>0</v>
      </c>
      <c r="AM469">
        <f t="shared" si="493"/>
        <v>0</v>
      </c>
      <c r="AO469">
        <f t="shared" si="494"/>
        <v>0</v>
      </c>
      <c r="AP469">
        <f t="shared" si="495"/>
        <v>0</v>
      </c>
      <c r="AQ469">
        <f t="shared" si="496"/>
        <v>0</v>
      </c>
      <c r="AR469">
        <f t="shared" si="497"/>
        <v>0</v>
      </c>
    </row>
    <row r="470" spans="2:44" x14ac:dyDescent="0.25">
      <c r="B470" s="83" t="s">
        <v>82</v>
      </c>
      <c r="C470" s="141"/>
      <c r="D470" s="141"/>
      <c r="E470" t="s">
        <v>42</v>
      </c>
      <c r="F470">
        <f t="shared" si="498"/>
        <v>8</v>
      </c>
      <c r="G470">
        <f t="shared" si="499"/>
        <v>0</v>
      </c>
      <c r="H470" s="167" t="s">
        <v>1236</v>
      </c>
      <c r="I470" s="121">
        <v>8</v>
      </c>
      <c r="N470" s="4" t="s">
        <v>36</v>
      </c>
      <c r="P470" s="86">
        <v>0</v>
      </c>
      <c r="Q470" s="165">
        <v>0</v>
      </c>
      <c r="R470">
        <v>0</v>
      </c>
      <c r="S470" s="6"/>
      <c r="T470" s="61"/>
      <c r="U470" s="61">
        <f t="shared" si="473"/>
        <v>0</v>
      </c>
      <c r="V470" s="7" t="str">
        <f t="shared" si="500"/>
        <v>NONE</v>
      </c>
      <c r="W470" s="56"/>
      <c r="X470" s="5"/>
      <c r="Y470" s="61">
        <f t="shared" si="475"/>
        <v>0</v>
      </c>
      <c r="Z470" s="61"/>
      <c r="AA470" s="1">
        <f t="shared" si="476"/>
        <v>0</v>
      </c>
      <c r="AB470" s="1">
        <f t="shared" si="501"/>
        <v>130</v>
      </c>
      <c r="AC470" s="1"/>
      <c r="AD470" s="65">
        <f t="shared" si="502"/>
        <v>-130</v>
      </c>
      <c r="AE470" s="1"/>
      <c r="AF470" s="1">
        <f t="shared" si="503"/>
        <v>0</v>
      </c>
      <c r="AG470" s="1">
        <f>IF(AH470&gt;0,AH322:AH470,0)</f>
        <v>0</v>
      </c>
      <c r="AH470" s="1">
        <f t="shared" si="489"/>
        <v>-130</v>
      </c>
      <c r="AJ470">
        <f t="shared" si="490"/>
        <v>0</v>
      </c>
      <c r="AK470">
        <f t="shared" si="491"/>
        <v>0</v>
      </c>
      <c r="AL470">
        <f t="shared" si="492"/>
        <v>0</v>
      </c>
      <c r="AM470">
        <f t="shared" si="493"/>
        <v>0</v>
      </c>
      <c r="AO470">
        <f t="shared" si="494"/>
        <v>0</v>
      </c>
      <c r="AP470">
        <f t="shared" si="495"/>
        <v>0</v>
      </c>
      <c r="AQ470">
        <f t="shared" si="496"/>
        <v>0</v>
      </c>
      <c r="AR470">
        <f t="shared" si="497"/>
        <v>0</v>
      </c>
    </row>
    <row r="471" spans="2:44" x14ac:dyDescent="0.25">
      <c r="B471" s="253" t="s">
        <v>1343</v>
      </c>
      <c r="C471" s="248" t="s">
        <v>1344</v>
      </c>
      <c r="D471" s="248"/>
      <c r="E471" s="248" t="s">
        <v>370</v>
      </c>
      <c r="F471" s="248">
        <f t="shared" si="498"/>
        <v>0</v>
      </c>
      <c r="G471" s="248">
        <f t="shared" si="499"/>
        <v>1</v>
      </c>
      <c r="H471" s="278" t="s">
        <v>1342</v>
      </c>
      <c r="I471" s="250">
        <v>7</v>
      </c>
      <c r="J471" s="48"/>
      <c r="K471" t="s">
        <v>615</v>
      </c>
      <c r="M471" s="180"/>
      <c r="N471" s="4" t="s">
        <v>36</v>
      </c>
      <c r="P471" s="86">
        <v>2057.1999999999998</v>
      </c>
      <c r="Q471" s="165">
        <v>0</v>
      </c>
      <c r="R471">
        <v>0</v>
      </c>
      <c r="S471" s="326" t="s">
        <v>1345</v>
      </c>
      <c r="T471" s="313"/>
      <c r="U471" s="61">
        <f>IF(V471=$AE$2,47,IF(V471=$AE$1,ROUND(((P471+500)*0.039),0),IF(V471=$AE$3,0)))</f>
        <v>0</v>
      </c>
      <c r="V471" s="7" t="str">
        <f t="shared" si="500"/>
        <v>NONE</v>
      </c>
      <c r="W471" s="56"/>
      <c r="X471" s="5"/>
      <c r="Y471" s="61">
        <f t="shared" si="475"/>
        <v>0</v>
      </c>
      <c r="Z471" s="61"/>
      <c r="AA471" s="1">
        <f t="shared" si="476"/>
        <v>0</v>
      </c>
      <c r="AB471" s="1">
        <f t="shared" si="501"/>
        <v>130</v>
      </c>
      <c r="AC471" s="1"/>
      <c r="AD471" s="65">
        <f t="shared" si="502"/>
        <v>1927.1999999999998</v>
      </c>
      <c r="AE471" s="1"/>
      <c r="AF471" s="1">
        <f t="shared" si="503"/>
        <v>30</v>
      </c>
      <c r="AG471" s="1">
        <f>IF(AH471&gt;0,AH328:AH471,0)</f>
        <v>1897.1999999999998</v>
      </c>
      <c r="AH471" s="1">
        <f t="shared" si="489"/>
        <v>1897.1999999999998</v>
      </c>
      <c r="AJ471">
        <f t="shared" si="490"/>
        <v>0</v>
      </c>
      <c r="AK471">
        <f t="shared" si="491"/>
        <v>0</v>
      </c>
      <c r="AL471">
        <f t="shared" si="492"/>
        <v>0</v>
      </c>
      <c r="AM471">
        <f t="shared" si="493"/>
        <v>0</v>
      </c>
      <c r="AO471">
        <f t="shared" si="494"/>
        <v>0</v>
      </c>
      <c r="AP471">
        <f t="shared" si="495"/>
        <v>0</v>
      </c>
      <c r="AQ471">
        <f t="shared" si="496"/>
        <v>0</v>
      </c>
      <c r="AR471">
        <f t="shared" si="497"/>
        <v>0</v>
      </c>
    </row>
    <row r="472" spans="2:44" x14ac:dyDescent="0.25">
      <c r="B472" s="253" t="s">
        <v>1361</v>
      </c>
      <c r="C472" s="253" t="s">
        <v>1362</v>
      </c>
      <c r="D472" s="253"/>
      <c r="E472" s="248" t="s">
        <v>370</v>
      </c>
      <c r="F472" s="248">
        <f>IF(E472=$B$12,I472,0)</f>
        <v>0</v>
      </c>
      <c r="G472" s="248">
        <f>IF(F472&gt;0,0,1)</f>
        <v>1</v>
      </c>
      <c r="H472" s="250" t="s">
        <v>1363</v>
      </c>
      <c r="I472" s="121">
        <v>10</v>
      </c>
      <c r="K472" t="s">
        <v>1370</v>
      </c>
      <c r="N472" s="4" t="s">
        <v>36</v>
      </c>
      <c r="P472" s="86">
        <v>3013.63</v>
      </c>
      <c r="Q472" s="165">
        <v>0</v>
      </c>
      <c r="R472">
        <v>0</v>
      </c>
      <c r="S472" s="315" t="s">
        <v>1369</v>
      </c>
      <c r="T472" s="61"/>
      <c r="U472" s="61">
        <f>IF(V472=$AE$2,47,IF(V472=$AE$1,ROUND(((P472+500)*0.039),0),IF(V472=$AE$3,0)))</f>
        <v>0</v>
      </c>
      <c r="V472" s="7" t="str">
        <f t="shared" si="500"/>
        <v>NONE</v>
      </c>
      <c r="W472" s="56"/>
      <c r="X472" s="5"/>
      <c r="Y472" s="61">
        <f>R472+Q472</f>
        <v>0</v>
      </c>
      <c r="Z472" s="61"/>
      <c r="AA472" s="1">
        <f>IF(X472=$AA$1,R472-500, IF(S472="SITE",R472, IF(X472="A/D/F1/500",R472, 0)))</f>
        <v>0</v>
      </c>
      <c r="AB472" s="1">
        <f t="shared" si="501"/>
        <v>130</v>
      </c>
      <c r="AC472" s="1"/>
      <c r="AD472" s="65">
        <f t="shared" si="502"/>
        <v>2883.63</v>
      </c>
      <c r="AE472" s="1"/>
      <c r="AF472" s="1">
        <f t="shared" si="503"/>
        <v>30</v>
      </c>
      <c r="AG472" s="1">
        <f>IF(AH472&gt;0,AH318:AH472,0)</f>
        <v>2853.63</v>
      </c>
      <c r="AH472" s="1">
        <f t="shared" si="489"/>
        <v>2853.63</v>
      </c>
      <c r="AJ472">
        <f t="shared" si="490"/>
        <v>0</v>
      </c>
      <c r="AK472">
        <f t="shared" si="491"/>
        <v>0</v>
      </c>
      <c r="AL472">
        <f t="shared" si="492"/>
        <v>0</v>
      </c>
      <c r="AM472">
        <f t="shared" si="493"/>
        <v>0</v>
      </c>
      <c r="AO472">
        <f t="shared" si="494"/>
        <v>0</v>
      </c>
      <c r="AP472">
        <f t="shared" si="495"/>
        <v>0</v>
      </c>
      <c r="AQ472">
        <f t="shared" si="496"/>
        <v>0</v>
      </c>
      <c r="AR472">
        <f t="shared" si="497"/>
        <v>0</v>
      </c>
    </row>
    <row r="473" spans="2:44" x14ac:dyDescent="0.25">
      <c r="B473" s="253"/>
      <c r="C473" s="248"/>
      <c r="D473" s="249"/>
      <c r="E473" s="248"/>
      <c r="F473" s="248"/>
      <c r="G473" s="248"/>
      <c r="H473" s="248"/>
      <c r="I473" s="250"/>
      <c r="J473" s="248"/>
      <c r="K473" s="317"/>
      <c r="L473" s="248"/>
      <c r="M473" s="301"/>
      <c r="N473" s="4" t="s">
        <v>36</v>
      </c>
      <c r="P473" s="86">
        <v>0</v>
      </c>
      <c r="Q473" s="165">
        <v>0</v>
      </c>
      <c r="R473">
        <v>0</v>
      </c>
      <c r="S473" s="295"/>
      <c r="T473" s="61"/>
      <c r="U473" s="61">
        <f t="shared" ref="U473:U478" si="504">IF(V473=$AE$2,47,IF(V473=$AE$1,ROUND(((P473+500)*0.039),0),IF(V473=$AE$3,0)))</f>
        <v>0</v>
      </c>
      <c r="V473" s="7" t="str">
        <f t="shared" ref="V473:V478" si="505">IF(W473=1,$AE$2,IF(W473=2,$AE$1,IF(AND(W473&lt;&gt;1,W473&lt;&gt;20)=TRUE,$AE$3)))</f>
        <v>NONE</v>
      </c>
      <c r="W473" s="56"/>
      <c r="X473" s="5"/>
      <c r="Y473" s="61">
        <f t="shared" si="475"/>
        <v>0</v>
      </c>
      <c r="Z473" s="61"/>
      <c r="AA473" s="1">
        <f t="shared" si="476"/>
        <v>0</v>
      </c>
      <c r="AB473" s="1">
        <f t="shared" ref="AB473:AB478" si="506">IF(I473&gt;0,130,0)</f>
        <v>0</v>
      </c>
      <c r="AC473" s="1"/>
      <c r="AD473" s="65">
        <f t="shared" ref="AD473:AD478" si="507">(P473+U473)-AB473</f>
        <v>0</v>
      </c>
      <c r="AE473" s="1"/>
      <c r="AF473" s="1">
        <f t="shared" ref="AF473:AF478" si="508">IF(I473&gt;0,30*G473,0)</f>
        <v>0</v>
      </c>
      <c r="AG473" s="1">
        <f>IF(AH473&gt;0,AH324:AH473,0)</f>
        <v>0</v>
      </c>
      <c r="AH473" s="1">
        <f t="shared" ref="AH473:AH478" si="509">AD473-AF473</f>
        <v>0</v>
      </c>
      <c r="AJ473">
        <f t="shared" ref="AJ473:AJ478" si="510">IF(T473=1,P473-U473,0)</f>
        <v>0</v>
      </c>
      <c r="AK473">
        <f t="shared" ref="AK473:AK478" si="511">IF(T473=2,P473-U473,0)</f>
        <v>0</v>
      </c>
      <c r="AL473">
        <f t="shared" ref="AL473:AL478" si="512">IF(T473=3,P473-U473,0)</f>
        <v>0</v>
      </c>
      <c r="AM473">
        <f t="shared" ref="AM473:AM478" si="513">IF(T473=4,P473-U473,0)</f>
        <v>0</v>
      </c>
      <c r="AO473">
        <f t="shared" ref="AO473:AO478" si="514">IF(T473=1,P473-U473,0)</f>
        <v>0</v>
      </c>
      <c r="AP473">
        <f t="shared" ref="AP473:AP478" si="515">IF(T473=2,P473-U473,0)</f>
        <v>0</v>
      </c>
      <c r="AQ473">
        <f t="shared" ref="AQ473:AQ478" si="516">IF(T473=3,P473-U473,0)</f>
        <v>0</v>
      </c>
      <c r="AR473">
        <f t="shared" ref="AR473:AR478" si="517">IF(T473=4,P473-U473,0)</f>
        <v>0</v>
      </c>
    </row>
    <row r="474" spans="2:44" x14ac:dyDescent="0.25">
      <c r="B474" s="83" t="s">
        <v>82</v>
      </c>
      <c r="E474" t="s">
        <v>42</v>
      </c>
      <c r="F474">
        <f t="shared" si="498"/>
        <v>3</v>
      </c>
      <c r="G474">
        <f t="shared" si="499"/>
        <v>0</v>
      </c>
      <c r="H474" s="167" t="s">
        <v>1237</v>
      </c>
      <c r="I474" s="121">
        <v>3</v>
      </c>
      <c r="N474" s="4" t="s">
        <v>36</v>
      </c>
      <c r="P474" s="86">
        <v>0</v>
      </c>
      <c r="Q474" s="165">
        <v>0</v>
      </c>
      <c r="R474">
        <v>0</v>
      </c>
      <c r="S474" s="6"/>
      <c r="T474" s="61"/>
      <c r="U474" s="61">
        <f t="shared" si="504"/>
        <v>0</v>
      </c>
      <c r="V474" s="7" t="str">
        <f t="shared" si="505"/>
        <v>NONE</v>
      </c>
      <c r="W474" s="56"/>
      <c r="X474" s="5"/>
      <c r="Y474" s="61">
        <f t="shared" si="475"/>
        <v>0</v>
      </c>
      <c r="Z474" s="61"/>
      <c r="AA474" s="1">
        <f t="shared" si="476"/>
        <v>0</v>
      </c>
      <c r="AB474" s="1">
        <f t="shared" si="506"/>
        <v>130</v>
      </c>
      <c r="AC474" s="1"/>
      <c r="AD474" s="65">
        <f t="shared" si="507"/>
        <v>-130</v>
      </c>
      <c r="AE474" s="1"/>
      <c r="AF474" s="1">
        <f t="shared" si="508"/>
        <v>0</v>
      </c>
      <c r="AG474" s="1">
        <f>IF(AH474&gt;0,AH324:AH492,0)</f>
        <v>0</v>
      </c>
      <c r="AH474" s="1">
        <f t="shared" si="509"/>
        <v>-130</v>
      </c>
      <c r="AJ474">
        <f t="shared" si="510"/>
        <v>0</v>
      </c>
      <c r="AK474">
        <f t="shared" si="511"/>
        <v>0</v>
      </c>
      <c r="AL474">
        <f t="shared" si="512"/>
        <v>0</v>
      </c>
      <c r="AM474">
        <f t="shared" si="513"/>
        <v>0</v>
      </c>
      <c r="AO474">
        <f t="shared" si="514"/>
        <v>0</v>
      </c>
      <c r="AP474">
        <f t="shared" si="515"/>
        <v>0</v>
      </c>
      <c r="AQ474">
        <f t="shared" si="516"/>
        <v>0</v>
      </c>
      <c r="AR474">
        <f t="shared" si="517"/>
        <v>0</v>
      </c>
    </row>
    <row r="475" spans="2:44" x14ac:dyDescent="0.25">
      <c r="B475" s="184" t="s">
        <v>1415</v>
      </c>
      <c r="C475" s="184" t="s">
        <v>1403</v>
      </c>
      <c r="D475" s="184"/>
      <c r="E475" s="238" t="s">
        <v>370</v>
      </c>
      <c r="F475" s="238"/>
      <c r="G475" s="238"/>
      <c r="H475" s="164" t="s">
        <v>665</v>
      </c>
      <c r="I475" s="250">
        <v>7</v>
      </c>
      <c r="J475" s="248"/>
      <c r="K475" s="248" t="s">
        <v>1115</v>
      </c>
      <c r="L475" s="248"/>
      <c r="M475" s="280"/>
      <c r="N475" s="4" t="s">
        <v>394</v>
      </c>
      <c r="P475" s="86">
        <v>2341.79</v>
      </c>
      <c r="Q475" s="165">
        <v>0</v>
      </c>
      <c r="R475">
        <v>0</v>
      </c>
      <c r="S475" s="329" t="s">
        <v>1404</v>
      </c>
      <c r="T475" s="61"/>
      <c r="U475" s="61">
        <f t="shared" si="504"/>
        <v>0</v>
      </c>
      <c r="V475" s="7" t="str">
        <f t="shared" si="505"/>
        <v>NONE</v>
      </c>
      <c r="W475" s="56"/>
      <c r="X475" s="5"/>
      <c r="Y475" s="61">
        <f t="shared" si="475"/>
        <v>0</v>
      </c>
      <c r="Z475" s="61"/>
      <c r="AA475" s="1">
        <f t="shared" si="476"/>
        <v>0</v>
      </c>
      <c r="AB475" s="1">
        <f t="shared" si="506"/>
        <v>130</v>
      </c>
      <c r="AC475" s="1"/>
      <c r="AD475" s="65">
        <f t="shared" si="507"/>
        <v>2211.79</v>
      </c>
      <c r="AE475" s="1"/>
      <c r="AF475" s="1">
        <f t="shared" si="508"/>
        <v>0</v>
      </c>
      <c r="AG475" s="1">
        <f>IF(AH475&gt;0,AH321:AH475,0)</f>
        <v>2211.79</v>
      </c>
      <c r="AH475" s="1">
        <f t="shared" si="509"/>
        <v>2211.79</v>
      </c>
      <c r="AJ475">
        <f t="shared" si="510"/>
        <v>0</v>
      </c>
      <c r="AK475">
        <f t="shared" si="511"/>
        <v>0</v>
      </c>
      <c r="AL475">
        <f t="shared" si="512"/>
        <v>0</v>
      </c>
      <c r="AM475">
        <f t="shared" si="513"/>
        <v>0</v>
      </c>
      <c r="AO475">
        <f t="shared" si="514"/>
        <v>0</v>
      </c>
      <c r="AP475">
        <f t="shared" si="515"/>
        <v>0</v>
      </c>
      <c r="AQ475">
        <f t="shared" si="516"/>
        <v>0</v>
      </c>
      <c r="AR475">
        <f t="shared" si="517"/>
        <v>0</v>
      </c>
    </row>
    <row r="476" spans="2:44" x14ac:dyDescent="0.25">
      <c r="B476" s="248" t="s">
        <v>1389</v>
      </c>
      <c r="C476" s="305" t="s">
        <v>1390</v>
      </c>
      <c r="D476" s="306"/>
      <c r="E476" s="287" t="s">
        <v>899</v>
      </c>
      <c r="F476" s="248">
        <v>0</v>
      </c>
      <c r="G476" s="248">
        <v>1</v>
      </c>
      <c r="H476" s="250" t="s">
        <v>1388</v>
      </c>
      <c r="I476" s="250">
        <v>4</v>
      </c>
      <c r="J476" s="248"/>
      <c r="K476" s="248" t="s">
        <v>1391</v>
      </c>
      <c r="N476" s="4" t="s">
        <v>394</v>
      </c>
      <c r="P476" s="328">
        <v>2090.87</v>
      </c>
      <c r="Q476" s="165">
        <v>2090.87</v>
      </c>
      <c r="R476">
        <v>0</v>
      </c>
      <c r="S476" s="295" t="s">
        <v>1392</v>
      </c>
      <c r="T476" s="61"/>
      <c r="U476" s="61">
        <f t="shared" si="504"/>
        <v>0</v>
      </c>
      <c r="V476" s="7" t="str">
        <f t="shared" si="505"/>
        <v>NONE</v>
      </c>
      <c r="W476" s="56"/>
      <c r="X476" s="87"/>
      <c r="Y476" s="61">
        <f t="shared" si="475"/>
        <v>2090.87</v>
      </c>
      <c r="Z476" s="61"/>
      <c r="AA476" s="1">
        <f t="shared" si="476"/>
        <v>0</v>
      </c>
      <c r="AB476" s="1">
        <f t="shared" si="506"/>
        <v>130</v>
      </c>
      <c r="AC476" s="1"/>
      <c r="AD476" s="65">
        <f t="shared" si="507"/>
        <v>1960.87</v>
      </c>
      <c r="AE476" s="1"/>
      <c r="AF476" s="1">
        <f t="shared" si="508"/>
        <v>30</v>
      </c>
      <c r="AG476" s="1">
        <f>IF(AH476&gt;0,AH321:AH488,0)</f>
        <v>1930.87</v>
      </c>
      <c r="AH476" s="1">
        <f t="shared" si="509"/>
        <v>1930.87</v>
      </c>
      <c r="AJ476">
        <f t="shared" si="510"/>
        <v>0</v>
      </c>
      <c r="AK476">
        <f t="shared" si="511"/>
        <v>0</v>
      </c>
      <c r="AL476">
        <f t="shared" si="512"/>
        <v>0</v>
      </c>
      <c r="AM476">
        <f t="shared" si="513"/>
        <v>0</v>
      </c>
      <c r="AO476">
        <f t="shared" si="514"/>
        <v>0</v>
      </c>
      <c r="AP476">
        <f t="shared" si="515"/>
        <v>0</v>
      </c>
      <c r="AQ476">
        <f t="shared" si="516"/>
        <v>0</v>
      </c>
      <c r="AR476">
        <f t="shared" si="517"/>
        <v>0</v>
      </c>
    </row>
    <row r="477" spans="2:44" x14ac:dyDescent="0.25">
      <c r="B477" s="83" t="s">
        <v>1418</v>
      </c>
      <c r="C477" s="332" t="s">
        <v>1419</v>
      </c>
      <c r="D477" s="333"/>
      <c r="E477" s="158" t="s">
        <v>1129</v>
      </c>
      <c r="F477" s="83">
        <v>0</v>
      </c>
      <c r="G477" s="83">
        <v>1</v>
      </c>
      <c r="H477" s="84" t="s">
        <v>1416</v>
      </c>
      <c r="I477" s="84">
        <v>7</v>
      </c>
      <c r="J477" s="248"/>
      <c r="K477" s="248" t="s">
        <v>1417</v>
      </c>
      <c r="N477" s="4" t="s">
        <v>394</v>
      </c>
      <c r="P477" s="328">
        <v>2755.77</v>
      </c>
      <c r="Q477" s="165">
        <v>2090.87</v>
      </c>
      <c r="R477">
        <v>0</v>
      </c>
      <c r="S477" s="295" t="s">
        <v>1345</v>
      </c>
      <c r="T477" s="61"/>
      <c r="U477" s="61">
        <f>IF(V477=$AE$2,47,IF(V477=$AE$1,ROUND(((P477+500)*0.039),0),IF(V477=$AE$3,0)))</f>
        <v>0</v>
      </c>
      <c r="V477" s="7" t="str">
        <f>IF(W477=1,$AE$2,IF(W477=2,$AE$1,IF(AND(W477&lt;&gt;1,W477&lt;&gt;20)=TRUE,$AE$3)))</f>
        <v>NONE</v>
      </c>
      <c r="W477" s="56"/>
      <c r="X477" s="87"/>
      <c r="Y477" s="61">
        <f>R477+Q477</f>
        <v>2090.87</v>
      </c>
      <c r="Z477" s="61"/>
      <c r="AA477" s="1">
        <f>IF(X477=$AA$1,R477-500, IF(S477="SITE",R477, IF(X477="A/D/F1/500",R477, 0)))</f>
        <v>0</v>
      </c>
      <c r="AB477" s="1">
        <f>IF(I477&gt;0,130,0)</f>
        <v>130</v>
      </c>
      <c r="AC477" s="1"/>
      <c r="AD477" s="65">
        <f>(P477+U477)-AB477</f>
        <v>2625.77</v>
      </c>
      <c r="AE477" s="1"/>
      <c r="AF477" s="1">
        <f>IF(I477&gt;0,30*G477,0)</f>
        <v>30</v>
      </c>
      <c r="AG477" s="1">
        <f>IF(AH477&gt;0,AH322:AH489,0)</f>
        <v>2595.77</v>
      </c>
      <c r="AH477" s="1">
        <f>AD477-AF477</f>
        <v>2595.77</v>
      </c>
      <c r="AJ477">
        <f>IF(T477=1,P477-U477,0)</f>
        <v>0</v>
      </c>
      <c r="AK477">
        <f>IF(T477=2,P477-U477,0)</f>
        <v>0</v>
      </c>
      <c r="AL477">
        <f>IF(T477=3,P477-U477,0)</f>
        <v>0</v>
      </c>
      <c r="AM477">
        <f>IF(T477=4,P477-U477,0)</f>
        <v>0</v>
      </c>
      <c r="AO477">
        <f>IF(T477=1,P477-U477,0)</f>
        <v>0</v>
      </c>
      <c r="AP477">
        <f>IF(T477=2,P477-U477,0)</f>
        <v>0</v>
      </c>
      <c r="AQ477">
        <f>IF(T477=3,P477-U477,0)</f>
        <v>0</v>
      </c>
      <c r="AR477">
        <f>IF(T477=4,P477-U477,0)</f>
        <v>0</v>
      </c>
    </row>
    <row r="478" spans="2:44" x14ac:dyDescent="0.25">
      <c r="B478" s="83" t="s">
        <v>82</v>
      </c>
      <c r="C478" s="8"/>
      <c r="D478" s="8"/>
      <c r="E478" t="s">
        <v>42</v>
      </c>
      <c r="F478">
        <f t="shared" si="498"/>
        <v>35</v>
      </c>
      <c r="G478">
        <f t="shared" si="499"/>
        <v>0</v>
      </c>
      <c r="H478" s="167" t="s">
        <v>1376</v>
      </c>
      <c r="I478" s="121">
        <v>35</v>
      </c>
      <c r="K478" s="320" t="s">
        <v>1360</v>
      </c>
      <c r="N478" s="4" t="s">
        <v>36</v>
      </c>
      <c r="P478" s="86">
        <v>0</v>
      </c>
      <c r="Q478" s="165">
        <v>0</v>
      </c>
      <c r="R478">
        <v>0</v>
      </c>
      <c r="S478" s="6"/>
      <c r="T478" s="61"/>
      <c r="U478" s="61">
        <f t="shared" si="504"/>
        <v>0</v>
      </c>
      <c r="V478" s="7" t="str">
        <f t="shared" si="505"/>
        <v>NONE</v>
      </c>
      <c r="W478" s="56"/>
      <c r="X478" s="5"/>
      <c r="Y478" s="61">
        <f t="shared" si="475"/>
        <v>0</v>
      </c>
      <c r="Z478" s="61"/>
      <c r="AA478" s="1">
        <f t="shared" si="476"/>
        <v>0</v>
      </c>
      <c r="AB478" s="1">
        <f t="shared" si="506"/>
        <v>130</v>
      </c>
      <c r="AC478" s="1"/>
      <c r="AD478" s="65">
        <f t="shared" si="507"/>
        <v>-130</v>
      </c>
      <c r="AE478" s="1"/>
      <c r="AF478" s="1">
        <f t="shared" si="508"/>
        <v>0</v>
      </c>
      <c r="AG478" s="1">
        <f>IF(AH478&gt;0,AH324:AH478,0)</f>
        <v>0</v>
      </c>
      <c r="AH478" s="1">
        <f t="shared" si="509"/>
        <v>-130</v>
      </c>
      <c r="AJ478">
        <f t="shared" si="510"/>
        <v>0</v>
      </c>
      <c r="AK478">
        <f t="shared" si="511"/>
        <v>0</v>
      </c>
      <c r="AL478">
        <f t="shared" si="512"/>
        <v>0</v>
      </c>
      <c r="AM478">
        <f t="shared" si="513"/>
        <v>0</v>
      </c>
      <c r="AO478">
        <f t="shared" si="514"/>
        <v>0</v>
      </c>
      <c r="AP478">
        <f t="shared" si="515"/>
        <v>0</v>
      </c>
      <c r="AQ478">
        <f t="shared" si="516"/>
        <v>0</v>
      </c>
      <c r="AR478">
        <f t="shared" si="517"/>
        <v>0</v>
      </c>
    </row>
    <row r="479" spans="2:44" x14ac:dyDescent="0.25">
      <c r="B479" s="253" t="s">
        <v>1420</v>
      </c>
      <c r="C479" s="334" t="s">
        <v>1419</v>
      </c>
      <c r="D479" s="307"/>
      <c r="E479" s="248" t="s">
        <v>899</v>
      </c>
      <c r="F479" s="248">
        <f t="shared" si="498"/>
        <v>0</v>
      </c>
      <c r="G479" s="248">
        <f t="shared" si="499"/>
        <v>1</v>
      </c>
      <c r="H479" s="248" t="s">
        <v>1423</v>
      </c>
      <c r="I479" s="250"/>
      <c r="J479" s="248"/>
      <c r="K479" s="248" t="s">
        <v>1421</v>
      </c>
      <c r="L479" s="248"/>
      <c r="M479" s="51"/>
      <c r="N479" s="4" t="s">
        <v>36</v>
      </c>
      <c r="P479" s="86">
        <v>2000</v>
      </c>
      <c r="Q479" s="165">
        <v>2500</v>
      </c>
      <c r="R479">
        <v>0</v>
      </c>
      <c r="S479" s="196" t="s">
        <v>1424</v>
      </c>
      <c r="T479" s="61"/>
      <c r="U479" s="61">
        <f>IF(V479=$AE$2,47,IF(V479=$AE$1,ROUND(((P479+500)*0.039),0),IF(V479=$AE$3,0)))</f>
        <v>0</v>
      </c>
      <c r="V479" s="7" t="str">
        <f>IF(W479=1,$AE$2,IF(W479=2,$AE$1,IF(AND(W479&lt;&gt;1,W479&lt;&gt;20)=TRUE,$AE$3)))</f>
        <v>NONE</v>
      </c>
      <c r="W479" s="56"/>
      <c r="X479" s="5"/>
      <c r="Y479" s="61">
        <f t="shared" si="475"/>
        <v>2500</v>
      </c>
      <c r="Z479" s="61"/>
      <c r="AA479" s="1">
        <f t="shared" si="476"/>
        <v>0</v>
      </c>
      <c r="AB479" s="1">
        <f>IF(I479&gt;0,130,0)</f>
        <v>0</v>
      </c>
      <c r="AC479" s="1"/>
      <c r="AD479" s="65">
        <f>(P479+U479)-AB479</f>
        <v>2000</v>
      </c>
      <c r="AE479" s="1"/>
      <c r="AF479" s="1">
        <f>IF(I479&gt;0,30*G479,0)</f>
        <v>0</v>
      </c>
      <c r="AG479" s="1">
        <f>IF(AH479&gt;0,AH326:AH479,0)</f>
        <v>2000</v>
      </c>
      <c r="AH479" s="1">
        <f>AD479-AF479</f>
        <v>2000</v>
      </c>
      <c r="AJ479">
        <f>IF(T479=1,P479-U479,0)</f>
        <v>0</v>
      </c>
      <c r="AK479">
        <f>IF(T479=2,P479-U479,0)</f>
        <v>0</v>
      </c>
      <c r="AL479">
        <f>IF(T479=3,P479-U479,0)</f>
        <v>0</v>
      </c>
      <c r="AM479">
        <f>IF(T479=4,P479-U479,0)</f>
        <v>0</v>
      </c>
      <c r="AO479">
        <f>IF(T479=1,P479-U479,0)</f>
        <v>0</v>
      </c>
      <c r="AP479">
        <f>IF(T479=2,P479-U479,0)</f>
        <v>0</v>
      </c>
      <c r="AQ479">
        <f>IF(T479=3,P479-U479,0)</f>
        <v>0</v>
      </c>
      <c r="AR479">
        <f>IF(T479=4,P479-U479,0)</f>
        <v>0</v>
      </c>
    </row>
    <row r="480" spans="2:44" x14ac:dyDescent="0.25">
      <c r="B480" s="8"/>
      <c r="C480" s="8"/>
      <c r="D480" s="8"/>
      <c r="F480">
        <f t="shared" si="498"/>
        <v>0</v>
      </c>
      <c r="G480">
        <f t="shared" si="499"/>
        <v>1</v>
      </c>
      <c r="I480" s="121"/>
      <c r="N480" s="4" t="s">
        <v>36</v>
      </c>
      <c r="P480" s="86">
        <v>0</v>
      </c>
      <c r="Q480" s="165">
        <v>0</v>
      </c>
      <c r="R480">
        <v>0</v>
      </c>
      <c r="S480" s="6"/>
      <c r="T480" s="61"/>
      <c r="U480" s="61">
        <f t="shared" ref="U480:U499" si="518">IF(V480=$AE$2,47,IF(V480=$AE$1,ROUND(((P480+500)*0.039),0),IF(V480=$AE$3,0)))</f>
        <v>0</v>
      </c>
      <c r="V480" s="7" t="str">
        <f t="shared" ref="V480:V499" si="519">IF(W480=1,$AE$2,IF(W480=2,$AE$1,IF(AND(W480&lt;&gt;1,W480&lt;&gt;20)=TRUE,$AE$3)))</f>
        <v>NONE</v>
      </c>
      <c r="W480" s="56"/>
      <c r="X480" s="5"/>
      <c r="Y480" s="61">
        <f t="shared" si="475"/>
        <v>0</v>
      </c>
      <c r="Z480" s="61"/>
      <c r="AA480" s="1">
        <f t="shared" si="476"/>
        <v>0</v>
      </c>
      <c r="AB480" s="1">
        <f t="shared" ref="AB480:AB499" si="520">IF(I480&gt;0,130,0)</f>
        <v>0</v>
      </c>
      <c r="AC480" s="1"/>
      <c r="AD480" s="65">
        <f t="shared" ref="AD480:AD499" si="521">(P480+U480)-AB480</f>
        <v>0</v>
      </c>
      <c r="AE480" s="1"/>
      <c r="AF480" s="1">
        <f t="shared" ref="AF480:AF499" si="522">IF(I480&gt;0,30*G480,0)</f>
        <v>0</v>
      </c>
      <c r="AG480" s="1">
        <f>IF(AH480&gt;0,AH326:AH480,0)</f>
        <v>0</v>
      </c>
      <c r="AH480" s="1">
        <f t="shared" ref="AH480:AH499" si="523">AD480-AF480</f>
        <v>0</v>
      </c>
      <c r="AJ480">
        <f t="shared" ref="AJ480:AJ499" si="524">IF(T480=1,P480-U480,0)</f>
        <v>0</v>
      </c>
      <c r="AK480">
        <f t="shared" ref="AK480:AK499" si="525">IF(T480=2,P480-U480,0)</f>
        <v>0</v>
      </c>
      <c r="AL480">
        <f t="shared" ref="AL480:AL499" si="526">IF(T480=3,P480-U480,0)</f>
        <v>0</v>
      </c>
      <c r="AM480">
        <f t="shared" ref="AM480:AM499" si="527">IF(T480=4,P480-U480,0)</f>
        <v>0</v>
      </c>
      <c r="AO480">
        <f t="shared" ref="AO480:AO499" si="528">IF(T480=1,P480-U480,0)</f>
        <v>0</v>
      </c>
      <c r="AP480">
        <f t="shared" ref="AP480:AP499" si="529">IF(T480=2,P480-U480,0)</f>
        <v>0</v>
      </c>
      <c r="AQ480">
        <f t="shared" ref="AQ480:AQ499" si="530">IF(T480=3,P480-U480,0)</f>
        <v>0</v>
      </c>
      <c r="AR480">
        <f t="shared" ref="AR480:AR499" si="531">IF(T480=4,P480-U480,0)</f>
        <v>0</v>
      </c>
    </row>
    <row r="481" spans="2:44" x14ac:dyDescent="0.25">
      <c r="B481" s="83" t="s">
        <v>82</v>
      </c>
      <c r="C481" s="8"/>
      <c r="D481" s="8"/>
      <c r="E481" t="s">
        <v>42</v>
      </c>
      <c r="F481">
        <f t="shared" si="498"/>
        <v>0</v>
      </c>
      <c r="G481">
        <f t="shared" si="499"/>
        <v>1</v>
      </c>
      <c r="H481" s="245" t="s">
        <v>1240</v>
      </c>
      <c r="I481" s="121"/>
      <c r="M481" s="51"/>
      <c r="N481" s="4" t="s">
        <v>36</v>
      </c>
      <c r="P481" s="86">
        <v>0</v>
      </c>
      <c r="Q481" s="165">
        <v>0</v>
      </c>
      <c r="R481">
        <v>0</v>
      </c>
      <c r="S481" s="6"/>
      <c r="T481" s="61"/>
      <c r="U481" s="61">
        <f t="shared" si="518"/>
        <v>0</v>
      </c>
      <c r="V481" s="7" t="str">
        <f t="shared" si="519"/>
        <v>NONE</v>
      </c>
      <c r="W481" s="56"/>
      <c r="X481" s="5"/>
      <c r="Y481" s="61">
        <f t="shared" si="475"/>
        <v>0</v>
      </c>
      <c r="Z481" s="61"/>
      <c r="AA481" s="1">
        <f t="shared" si="476"/>
        <v>0</v>
      </c>
      <c r="AB481" s="1">
        <f t="shared" si="520"/>
        <v>0</v>
      </c>
      <c r="AC481" s="1"/>
      <c r="AD481" s="65">
        <f t="shared" si="521"/>
        <v>0</v>
      </c>
      <c r="AE481" s="1"/>
      <c r="AF481" s="1">
        <f t="shared" si="522"/>
        <v>0</v>
      </c>
      <c r="AG481" s="1">
        <f>IF(AH481&gt;0,AH328:AH481,0)</f>
        <v>0</v>
      </c>
      <c r="AH481" s="1">
        <f t="shared" si="523"/>
        <v>0</v>
      </c>
      <c r="AJ481">
        <f t="shared" si="524"/>
        <v>0</v>
      </c>
      <c r="AK481">
        <f t="shared" si="525"/>
        <v>0</v>
      </c>
      <c r="AL481">
        <f t="shared" si="526"/>
        <v>0</v>
      </c>
      <c r="AM481">
        <f t="shared" si="527"/>
        <v>0</v>
      </c>
      <c r="AO481">
        <f t="shared" si="528"/>
        <v>0</v>
      </c>
      <c r="AP481">
        <f t="shared" si="529"/>
        <v>0</v>
      </c>
      <c r="AQ481">
        <f t="shared" si="530"/>
        <v>0</v>
      </c>
      <c r="AR481">
        <f t="shared" si="531"/>
        <v>0</v>
      </c>
    </row>
    <row r="482" spans="2:44" ht="15.75" customHeight="1" x14ac:dyDescent="0.25">
      <c r="B482" s="8"/>
      <c r="C482" s="8"/>
      <c r="D482" s="8"/>
      <c r="F482">
        <f t="shared" si="498"/>
        <v>0</v>
      </c>
      <c r="G482">
        <f t="shared" si="499"/>
        <v>1</v>
      </c>
      <c r="I482" s="121"/>
      <c r="N482" s="4" t="s">
        <v>36</v>
      </c>
      <c r="P482" s="86">
        <v>0</v>
      </c>
      <c r="Q482" s="165">
        <v>0</v>
      </c>
      <c r="R482">
        <v>0</v>
      </c>
      <c r="S482" s="6"/>
      <c r="T482" s="61"/>
      <c r="U482" s="61">
        <f t="shared" si="518"/>
        <v>0</v>
      </c>
      <c r="V482" s="7" t="str">
        <f t="shared" si="519"/>
        <v>NONE</v>
      </c>
      <c r="W482" s="56"/>
      <c r="X482" s="5"/>
      <c r="Y482" s="61">
        <f t="shared" si="475"/>
        <v>0</v>
      </c>
      <c r="Z482" s="61"/>
      <c r="AA482" s="1">
        <f t="shared" si="476"/>
        <v>0</v>
      </c>
      <c r="AB482" s="1">
        <f t="shared" si="520"/>
        <v>0</v>
      </c>
      <c r="AC482" s="1"/>
      <c r="AD482" s="65">
        <f t="shared" si="521"/>
        <v>0</v>
      </c>
      <c r="AE482" s="1"/>
      <c r="AF482" s="1">
        <f t="shared" si="522"/>
        <v>0</v>
      </c>
      <c r="AG482" s="1">
        <f>IF(AH482&gt;0,AH324:AH482,0)</f>
        <v>0</v>
      </c>
      <c r="AH482" s="1">
        <f t="shared" si="523"/>
        <v>0</v>
      </c>
      <c r="AJ482">
        <f t="shared" si="524"/>
        <v>0</v>
      </c>
      <c r="AK482">
        <f t="shared" si="525"/>
        <v>0</v>
      </c>
      <c r="AL482">
        <f t="shared" si="526"/>
        <v>0</v>
      </c>
      <c r="AM482">
        <f t="shared" si="527"/>
        <v>0</v>
      </c>
      <c r="AO482">
        <f t="shared" si="528"/>
        <v>0</v>
      </c>
      <c r="AP482">
        <f t="shared" si="529"/>
        <v>0</v>
      </c>
      <c r="AQ482">
        <f t="shared" si="530"/>
        <v>0</v>
      </c>
      <c r="AR482">
        <f t="shared" si="531"/>
        <v>0</v>
      </c>
    </row>
    <row r="483" spans="2:44" x14ac:dyDescent="0.25">
      <c r="B483" s="178"/>
      <c r="F483">
        <f t="shared" si="498"/>
        <v>0</v>
      </c>
      <c r="G483">
        <f t="shared" si="499"/>
        <v>1</v>
      </c>
      <c r="I483" s="121"/>
      <c r="N483" s="4" t="s">
        <v>36</v>
      </c>
      <c r="P483" s="86">
        <v>0</v>
      </c>
      <c r="Q483" s="165">
        <v>0</v>
      </c>
      <c r="R483">
        <v>0</v>
      </c>
      <c r="S483" s="6"/>
      <c r="T483" s="61"/>
      <c r="U483" s="61">
        <f t="shared" si="518"/>
        <v>0</v>
      </c>
      <c r="V483" s="7" t="str">
        <f t="shared" si="519"/>
        <v>NONE</v>
      </c>
      <c r="W483" s="56"/>
      <c r="X483" s="5"/>
      <c r="Y483" s="61">
        <f t="shared" si="475"/>
        <v>0</v>
      </c>
      <c r="Z483" s="61"/>
      <c r="AA483" s="1">
        <f t="shared" si="476"/>
        <v>0</v>
      </c>
      <c r="AB483" s="1">
        <f t="shared" si="520"/>
        <v>0</v>
      </c>
      <c r="AC483" s="1"/>
      <c r="AD483" s="65">
        <f t="shared" si="521"/>
        <v>0</v>
      </c>
      <c r="AE483" s="1"/>
      <c r="AF483" s="1">
        <f t="shared" si="522"/>
        <v>0</v>
      </c>
      <c r="AG483" s="1">
        <f>IF(AH483&gt;0,AH326:AH483,0)</f>
        <v>0</v>
      </c>
      <c r="AH483" s="1">
        <f t="shared" si="523"/>
        <v>0</v>
      </c>
      <c r="AJ483">
        <f t="shared" si="524"/>
        <v>0</v>
      </c>
      <c r="AK483">
        <f t="shared" si="525"/>
        <v>0</v>
      </c>
      <c r="AL483">
        <f t="shared" si="526"/>
        <v>0</v>
      </c>
      <c r="AM483">
        <f t="shared" si="527"/>
        <v>0</v>
      </c>
      <c r="AO483">
        <f t="shared" si="528"/>
        <v>0</v>
      </c>
      <c r="AP483">
        <f t="shared" si="529"/>
        <v>0</v>
      </c>
      <c r="AQ483">
        <f t="shared" si="530"/>
        <v>0</v>
      </c>
      <c r="AR483">
        <f t="shared" si="531"/>
        <v>0</v>
      </c>
    </row>
    <row r="484" spans="2:44" x14ac:dyDescent="0.25">
      <c r="B484" s="83" t="s">
        <v>82</v>
      </c>
      <c r="E484" t="s">
        <v>42</v>
      </c>
      <c r="F484">
        <f t="shared" si="498"/>
        <v>3</v>
      </c>
      <c r="G484">
        <f t="shared" si="499"/>
        <v>0</v>
      </c>
      <c r="H484" s="245" t="s">
        <v>1238</v>
      </c>
      <c r="I484" s="121">
        <v>3</v>
      </c>
      <c r="N484" s="4" t="s">
        <v>36</v>
      </c>
      <c r="P484" s="86">
        <v>0</v>
      </c>
      <c r="Q484" s="165">
        <v>0</v>
      </c>
      <c r="R484">
        <v>0</v>
      </c>
      <c r="S484" s="6"/>
      <c r="T484" s="61"/>
      <c r="U484" s="61">
        <f t="shared" si="518"/>
        <v>0</v>
      </c>
      <c r="V484" s="7" t="str">
        <f t="shared" si="519"/>
        <v>NONE</v>
      </c>
      <c r="W484" s="56"/>
      <c r="X484" s="87"/>
      <c r="Y484" s="61">
        <f t="shared" si="475"/>
        <v>0</v>
      </c>
      <c r="Z484" s="61"/>
      <c r="AA484" s="1">
        <f t="shared" si="476"/>
        <v>0</v>
      </c>
      <c r="AB484" s="1">
        <f t="shared" si="520"/>
        <v>130</v>
      </c>
      <c r="AC484" s="1"/>
      <c r="AD484" s="65">
        <f t="shared" si="521"/>
        <v>-130</v>
      </c>
      <c r="AE484" s="1"/>
      <c r="AF484" s="1">
        <f t="shared" si="522"/>
        <v>0</v>
      </c>
      <c r="AG484" s="1">
        <f>IF(AH484&gt;0,AH326:AH493,0)</f>
        <v>0</v>
      </c>
      <c r="AH484" s="1">
        <f t="shared" si="523"/>
        <v>-130</v>
      </c>
      <c r="AJ484">
        <f t="shared" si="524"/>
        <v>0</v>
      </c>
      <c r="AK484">
        <f t="shared" si="525"/>
        <v>0</v>
      </c>
      <c r="AL484">
        <f t="shared" si="526"/>
        <v>0</v>
      </c>
      <c r="AM484">
        <f t="shared" si="527"/>
        <v>0</v>
      </c>
      <c r="AO484">
        <f t="shared" si="528"/>
        <v>0</v>
      </c>
      <c r="AP484">
        <f t="shared" si="529"/>
        <v>0</v>
      </c>
      <c r="AQ484">
        <f t="shared" si="530"/>
        <v>0</v>
      </c>
      <c r="AR484">
        <f t="shared" si="531"/>
        <v>0</v>
      </c>
    </row>
    <row r="485" spans="2:44" ht="13.15" customHeight="1" x14ac:dyDescent="0.25">
      <c r="B485" s="8"/>
      <c r="C485" s="8"/>
      <c r="D485" s="8"/>
      <c r="F485">
        <f t="shared" si="498"/>
        <v>0</v>
      </c>
      <c r="G485">
        <f t="shared" si="499"/>
        <v>1</v>
      </c>
      <c r="H485" s="121"/>
      <c r="I485" s="121"/>
      <c r="N485" s="4" t="s">
        <v>36</v>
      </c>
      <c r="P485" s="86">
        <v>0</v>
      </c>
      <c r="Q485" s="165">
        <v>0</v>
      </c>
      <c r="R485">
        <v>0</v>
      </c>
      <c r="S485" s="6"/>
      <c r="T485" s="61"/>
      <c r="U485" s="61">
        <f t="shared" si="518"/>
        <v>0</v>
      </c>
      <c r="V485" s="7" t="str">
        <f t="shared" si="519"/>
        <v>NONE</v>
      </c>
      <c r="W485" s="56"/>
      <c r="X485" s="5"/>
      <c r="Y485" s="61">
        <f t="shared" si="475"/>
        <v>0</v>
      </c>
      <c r="Z485" s="61"/>
      <c r="AA485" s="1">
        <f t="shared" si="476"/>
        <v>0</v>
      </c>
      <c r="AB485" s="1">
        <f t="shared" si="520"/>
        <v>0</v>
      </c>
      <c r="AC485" s="1"/>
      <c r="AD485" s="65">
        <f t="shared" si="521"/>
        <v>0</v>
      </c>
      <c r="AE485" s="1"/>
      <c r="AF485" s="1">
        <f t="shared" si="522"/>
        <v>0</v>
      </c>
      <c r="AG485" s="1">
        <f>IF(AH485&gt;0,AH329:AH485,0)</f>
        <v>0</v>
      </c>
      <c r="AH485" s="1">
        <f t="shared" si="523"/>
        <v>0</v>
      </c>
      <c r="AJ485">
        <f t="shared" si="524"/>
        <v>0</v>
      </c>
      <c r="AK485">
        <f t="shared" si="525"/>
        <v>0</v>
      </c>
      <c r="AL485">
        <f t="shared" si="526"/>
        <v>0</v>
      </c>
      <c r="AM485">
        <f t="shared" si="527"/>
        <v>0</v>
      </c>
      <c r="AO485">
        <f t="shared" si="528"/>
        <v>0</v>
      </c>
      <c r="AP485">
        <f t="shared" si="529"/>
        <v>0</v>
      </c>
      <c r="AQ485">
        <f t="shared" si="530"/>
        <v>0</v>
      </c>
      <c r="AR485">
        <f t="shared" si="531"/>
        <v>0</v>
      </c>
    </row>
    <row r="486" spans="2:44" x14ac:dyDescent="0.25">
      <c r="B486" s="253" t="s">
        <v>1422</v>
      </c>
      <c r="C486" s="248" t="s">
        <v>1290</v>
      </c>
      <c r="D486" s="248"/>
      <c r="E486" s="248" t="s">
        <v>899</v>
      </c>
      <c r="F486" s="248">
        <v>0</v>
      </c>
      <c r="G486" s="248">
        <v>1</v>
      </c>
      <c r="H486" s="248"/>
      <c r="I486" s="121">
        <v>14</v>
      </c>
      <c r="K486" t="s">
        <v>777</v>
      </c>
      <c r="M486" s="87" t="s">
        <v>1309</v>
      </c>
      <c r="N486" s="4" t="s">
        <v>394</v>
      </c>
      <c r="P486" s="86">
        <v>1300</v>
      </c>
      <c r="Q486" s="165">
        <v>0</v>
      </c>
      <c r="R486">
        <v>0</v>
      </c>
      <c r="S486" s="6"/>
      <c r="T486" s="61"/>
      <c r="U486" s="61">
        <f t="shared" si="518"/>
        <v>0</v>
      </c>
      <c r="V486" s="7" t="str">
        <f t="shared" si="519"/>
        <v>NONE</v>
      </c>
      <c r="W486" s="56"/>
      <c r="X486" s="5"/>
      <c r="Y486" s="61">
        <f t="shared" si="475"/>
        <v>0</v>
      </c>
      <c r="Z486" s="61"/>
      <c r="AA486" s="1">
        <f t="shared" si="476"/>
        <v>0</v>
      </c>
      <c r="AB486" s="1">
        <f t="shared" si="520"/>
        <v>130</v>
      </c>
      <c r="AC486" s="1"/>
      <c r="AD486" s="65">
        <f t="shared" si="521"/>
        <v>1170</v>
      </c>
      <c r="AE486" s="1"/>
      <c r="AF486" s="1">
        <f t="shared" si="522"/>
        <v>30</v>
      </c>
      <c r="AG486" s="1">
        <f>IF(AH486&gt;0,AH329:AH486,0)</f>
        <v>1140</v>
      </c>
      <c r="AH486" s="1">
        <f t="shared" si="523"/>
        <v>1140</v>
      </c>
      <c r="AJ486">
        <f t="shared" si="524"/>
        <v>0</v>
      </c>
      <c r="AK486">
        <f t="shared" si="525"/>
        <v>0</v>
      </c>
      <c r="AL486">
        <f t="shared" si="526"/>
        <v>0</v>
      </c>
      <c r="AM486">
        <f t="shared" si="527"/>
        <v>0</v>
      </c>
      <c r="AO486">
        <f t="shared" si="528"/>
        <v>0</v>
      </c>
      <c r="AP486">
        <f t="shared" si="529"/>
        <v>0</v>
      </c>
      <c r="AQ486">
        <f t="shared" si="530"/>
        <v>0</v>
      </c>
      <c r="AR486">
        <f t="shared" si="531"/>
        <v>0</v>
      </c>
    </row>
    <row r="487" spans="2:44" x14ac:dyDescent="0.25">
      <c r="B487" s="83" t="s">
        <v>82</v>
      </c>
      <c r="C487" s="8"/>
      <c r="D487" s="8"/>
      <c r="E487" t="s">
        <v>42</v>
      </c>
      <c r="F487">
        <f t="shared" si="498"/>
        <v>3</v>
      </c>
      <c r="G487">
        <f t="shared" si="499"/>
        <v>0</v>
      </c>
      <c r="H487" s="99" t="s">
        <v>1387</v>
      </c>
      <c r="I487" s="121">
        <v>3</v>
      </c>
      <c r="K487" t="s">
        <v>1153</v>
      </c>
      <c r="N487" s="4" t="s">
        <v>36</v>
      </c>
      <c r="P487" s="86">
        <v>0</v>
      </c>
      <c r="Q487" s="165">
        <v>0</v>
      </c>
      <c r="R487">
        <v>0</v>
      </c>
      <c r="S487" s="6"/>
      <c r="T487" s="61"/>
      <c r="U487" s="61">
        <f t="shared" si="518"/>
        <v>0</v>
      </c>
      <c r="V487" s="7" t="str">
        <f t="shared" si="519"/>
        <v>NONE</v>
      </c>
      <c r="W487" s="56"/>
      <c r="X487" s="5"/>
      <c r="Y487" s="61">
        <f t="shared" si="475"/>
        <v>0</v>
      </c>
      <c r="Z487" s="61"/>
      <c r="AA487" s="1">
        <f t="shared" si="476"/>
        <v>0</v>
      </c>
      <c r="AB487" s="1">
        <f t="shared" si="520"/>
        <v>130</v>
      </c>
      <c r="AC487" s="1"/>
      <c r="AD487" s="65">
        <f t="shared" si="521"/>
        <v>-130</v>
      </c>
      <c r="AE487" s="1"/>
      <c r="AF487" s="1">
        <f t="shared" si="522"/>
        <v>0</v>
      </c>
      <c r="AG487" s="1">
        <f>IF(AH487&gt;0,AH330:AH487,0)</f>
        <v>0</v>
      </c>
      <c r="AH487" s="1">
        <f t="shared" si="523"/>
        <v>-130</v>
      </c>
      <c r="AJ487">
        <f t="shared" si="524"/>
        <v>0</v>
      </c>
      <c r="AK487">
        <f t="shared" si="525"/>
        <v>0</v>
      </c>
      <c r="AL487">
        <f t="shared" si="526"/>
        <v>0</v>
      </c>
      <c r="AM487">
        <f t="shared" si="527"/>
        <v>0</v>
      </c>
      <c r="AO487">
        <f t="shared" si="528"/>
        <v>0</v>
      </c>
      <c r="AP487">
        <f t="shared" si="529"/>
        <v>0</v>
      </c>
      <c r="AQ487">
        <f t="shared" si="530"/>
        <v>0</v>
      </c>
      <c r="AR487">
        <f t="shared" si="531"/>
        <v>0</v>
      </c>
    </row>
    <row r="488" spans="2:44" x14ac:dyDescent="0.25">
      <c r="B488" s="253" t="s">
        <v>1324</v>
      </c>
      <c r="C488" s="249" t="s">
        <v>929</v>
      </c>
      <c r="D488" s="248"/>
      <c r="E488" s="248" t="s">
        <v>899</v>
      </c>
      <c r="F488" s="248">
        <f t="shared" si="498"/>
        <v>0</v>
      </c>
      <c r="G488" s="248">
        <f t="shared" si="499"/>
        <v>1</v>
      </c>
      <c r="H488" s="248" t="s">
        <v>1323</v>
      </c>
      <c r="I488" s="250">
        <v>7</v>
      </c>
      <c r="J488" s="248"/>
      <c r="K488" s="248" t="s">
        <v>1325</v>
      </c>
      <c r="L488" s="248"/>
      <c r="M488" s="280"/>
      <c r="N488" s="4" t="s">
        <v>36</v>
      </c>
      <c r="P488" s="86">
        <v>1723.59</v>
      </c>
      <c r="Q488" s="165">
        <v>500</v>
      </c>
      <c r="R488">
        <v>1723.59</v>
      </c>
      <c r="S488" s="315" t="s">
        <v>1425</v>
      </c>
      <c r="T488" s="314"/>
      <c r="U488" s="314">
        <f t="shared" si="518"/>
        <v>0</v>
      </c>
      <c r="V488" s="7" t="str">
        <f t="shared" si="519"/>
        <v>NONE</v>
      </c>
      <c r="W488" s="56"/>
      <c r="X488" s="5"/>
      <c r="Y488" s="61">
        <f t="shared" si="475"/>
        <v>2223.59</v>
      </c>
      <c r="Z488" s="61"/>
      <c r="AA488" s="1">
        <f t="shared" si="476"/>
        <v>0</v>
      </c>
      <c r="AB488" s="1">
        <f t="shared" si="520"/>
        <v>130</v>
      </c>
      <c r="AC488" s="1"/>
      <c r="AD488" s="65">
        <f t="shared" si="521"/>
        <v>1593.59</v>
      </c>
      <c r="AE488" s="1"/>
      <c r="AF488" s="1">
        <f t="shared" si="522"/>
        <v>30</v>
      </c>
      <c r="AG488" s="1">
        <f>IF(AH488&gt;0,AH329:AH493,0)</f>
        <v>1563.59</v>
      </c>
      <c r="AH488" s="1">
        <f t="shared" si="523"/>
        <v>1563.59</v>
      </c>
      <c r="AJ488">
        <f t="shared" si="524"/>
        <v>0</v>
      </c>
      <c r="AK488">
        <f t="shared" si="525"/>
        <v>0</v>
      </c>
      <c r="AL488">
        <f t="shared" si="526"/>
        <v>0</v>
      </c>
      <c r="AM488">
        <f t="shared" si="527"/>
        <v>0</v>
      </c>
      <c r="AO488">
        <f t="shared" si="528"/>
        <v>0</v>
      </c>
      <c r="AP488">
        <f t="shared" si="529"/>
        <v>0</v>
      </c>
      <c r="AQ488">
        <f t="shared" si="530"/>
        <v>0</v>
      </c>
      <c r="AR488">
        <f t="shared" si="531"/>
        <v>0</v>
      </c>
    </row>
    <row r="489" spans="2:44" x14ac:dyDescent="0.25">
      <c r="B489" s="253" t="s">
        <v>702</v>
      </c>
      <c r="C489" s="249" t="s">
        <v>701</v>
      </c>
      <c r="D489" s="253"/>
      <c r="E489" s="248" t="s">
        <v>899</v>
      </c>
      <c r="F489" s="248">
        <v>0</v>
      </c>
      <c r="G489" s="248">
        <v>1</v>
      </c>
      <c r="H489" s="250" t="s">
        <v>1406</v>
      </c>
      <c r="I489" s="121">
        <v>9</v>
      </c>
      <c r="K489" t="s">
        <v>777</v>
      </c>
      <c r="N489" s="4" t="s">
        <v>36</v>
      </c>
      <c r="P489" s="86">
        <v>3263.9</v>
      </c>
      <c r="Q489" s="165">
        <f>P489/2</f>
        <v>1631.95</v>
      </c>
      <c r="R489" s="176">
        <f>Q489+500</f>
        <v>2131.9499999999998</v>
      </c>
      <c r="S489" s="315" t="s">
        <v>1426</v>
      </c>
      <c r="T489" s="314"/>
      <c r="U489" s="314">
        <f t="shared" si="518"/>
        <v>0</v>
      </c>
      <c r="V489" s="7" t="str">
        <f t="shared" si="519"/>
        <v>NONE</v>
      </c>
      <c r="W489" s="56"/>
      <c r="X489" s="5"/>
      <c r="Y489" s="61">
        <f t="shared" si="475"/>
        <v>3763.8999999999996</v>
      </c>
      <c r="Z489" s="61"/>
      <c r="AA489" s="1">
        <f t="shared" si="476"/>
        <v>0</v>
      </c>
      <c r="AB489" s="1">
        <f t="shared" si="520"/>
        <v>130</v>
      </c>
      <c r="AC489" s="1"/>
      <c r="AD489" s="65">
        <f t="shared" si="521"/>
        <v>3133.9</v>
      </c>
      <c r="AE489" s="1"/>
      <c r="AF489" s="1">
        <f t="shared" si="522"/>
        <v>30</v>
      </c>
      <c r="AG489" s="1">
        <f>IF(AH489&gt;0,AH331:AH489,0)</f>
        <v>3103.9</v>
      </c>
      <c r="AH489" s="1">
        <f t="shared" si="523"/>
        <v>3103.9</v>
      </c>
      <c r="AJ489">
        <f t="shared" si="524"/>
        <v>0</v>
      </c>
      <c r="AK489">
        <f t="shared" si="525"/>
        <v>0</v>
      </c>
      <c r="AL489">
        <f t="shared" si="526"/>
        <v>0</v>
      </c>
      <c r="AM489">
        <f t="shared" si="527"/>
        <v>0</v>
      </c>
      <c r="AO489">
        <f t="shared" si="528"/>
        <v>0</v>
      </c>
      <c r="AP489">
        <f t="shared" si="529"/>
        <v>0</v>
      </c>
      <c r="AQ489">
        <f t="shared" si="530"/>
        <v>0</v>
      </c>
      <c r="AR489">
        <f t="shared" si="531"/>
        <v>0</v>
      </c>
    </row>
    <row r="490" spans="2:44" x14ac:dyDescent="0.25">
      <c r="B490" s="83" t="s">
        <v>82</v>
      </c>
      <c r="E490" t="s">
        <v>42</v>
      </c>
      <c r="F490">
        <f t="shared" si="498"/>
        <v>4</v>
      </c>
      <c r="G490">
        <f t="shared" si="499"/>
        <v>0</v>
      </c>
      <c r="H490" s="245" t="s">
        <v>1239</v>
      </c>
      <c r="I490" s="121">
        <v>4</v>
      </c>
      <c r="N490" s="4" t="s">
        <v>36</v>
      </c>
      <c r="P490" s="86">
        <v>0</v>
      </c>
      <c r="Q490" s="165">
        <v>0</v>
      </c>
      <c r="R490">
        <v>0</v>
      </c>
      <c r="S490" s="6"/>
      <c r="T490" s="61"/>
      <c r="U490" s="61">
        <f t="shared" si="518"/>
        <v>0</v>
      </c>
      <c r="V490" s="7" t="str">
        <f t="shared" si="519"/>
        <v>NONE</v>
      </c>
      <c r="W490" s="56"/>
      <c r="X490" s="183"/>
      <c r="Y490" s="61">
        <f t="shared" si="475"/>
        <v>0</v>
      </c>
      <c r="Z490" s="61"/>
      <c r="AA490" s="1">
        <f t="shared" si="476"/>
        <v>0</v>
      </c>
      <c r="AB490" s="1">
        <f t="shared" si="520"/>
        <v>130</v>
      </c>
      <c r="AC490" s="1"/>
      <c r="AD490" s="65">
        <f t="shared" si="521"/>
        <v>-130</v>
      </c>
      <c r="AE490" s="1"/>
      <c r="AF490" s="1">
        <f t="shared" si="522"/>
        <v>0</v>
      </c>
      <c r="AG490" s="1">
        <f>IF(AH490&gt;0,AH329:AH490,0)</f>
        <v>0</v>
      </c>
      <c r="AH490" s="1">
        <f t="shared" si="523"/>
        <v>-130</v>
      </c>
      <c r="AJ490">
        <f t="shared" si="524"/>
        <v>0</v>
      </c>
      <c r="AK490">
        <f t="shared" si="525"/>
        <v>0</v>
      </c>
      <c r="AL490">
        <f t="shared" si="526"/>
        <v>0</v>
      </c>
      <c r="AM490">
        <f t="shared" si="527"/>
        <v>0</v>
      </c>
      <c r="AO490">
        <f t="shared" si="528"/>
        <v>0</v>
      </c>
      <c r="AP490">
        <f t="shared" si="529"/>
        <v>0</v>
      </c>
      <c r="AQ490">
        <f t="shared" si="530"/>
        <v>0</v>
      </c>
      <c r="AR490">
        <f t="shared" si="531"/>
        <v>0</v>
      </c>
    </row>
    <row r="491" spans="2:44" x14ac:dyDescent="0.25">
      <c r="B491" s="8"/>
      <c r="F491">
        <f t="shared" si="498"/>
        <v>0</v>
      </c>
      <c r="G491">
        <f t="shared" si="499"/>
        <v>1</v>
      </c>
      <c r="H491" s="121"/>
      <c r="I491" s="121"/>
      <c r="N491" s="4" t="s">
        <v>36</v>
      </c>
      <c r="P491" s="86">
        <v>0</v>
      </c>
      <c r="Q491" s="165">
        <v>0</v>
      </c>
      <c r="R491">
        <v>0</v>
      </c>
      <c r="S491" s="6"/>
      <c r="T491" s="61"/>
      <c r="U491" s="61">
        <f t="shared" si="518"/>
        <v>0</v>
      </c>
      <c r="V491" s="7" t="str">
        <f t="shared" si="519"/>
        <v>NONE</v>
      </c>
      <c r="W491" s="56"/>
      <c r="X491" s="5"/>
      <c r="Y491" s="61">
        <f t="shared" si="475"/>
        <v>0</v>
      </c>
      <c r="Z491" s="61"/>
      <c r="AA491" s="1">
        <f t="shared" si="476"/>
        <v>0</v>
      </c>
      <c r="AB491" s="1">
        <f t="shared" si="520"/>
        <v>0</v>
      </c>
      <c r="AC491" s="1"/>
      <c r="AD491" s="65">
        <f t="shared" si="521"/>
        <v>0</v>
      </c>
      <c r="AE491" s="1"/>
      <c r="AF491" s="1">
        <f t="shared" si="522"/>
        <v>0</v>
      </c>
      <c r="AG491" s="1">
        <f>IF(AH491&gt;0,AH331:AH495,0)</f>
        <v>0</v>
      </c>
      <c r="AH491" s="1">
        <f t="shared" si="523"/>
        <v>0</v>
      </c>
      <c r="AJ491">
        <f t="shared" si="524"/>
        <v>0</v>
      </c>
      <c r="AK491">
        <f t="shared" si="525"/>
        <v>0</v>
      </c>
      <c r="AL491">
        <f t="shared" si="526"/>
        <v>0</v>
      </c>
      <c r="AM491">
        <f t="shared" si="527"/>
        <v>0</v>
      </c>
      <c r="AO491">
        <f t="shared" si="528"/>
        <v>0</v>
      </c>
      <c r="AP491">
        <f t="shared" si="529"/>
        <v>0</v>
      </c>
      <c r="AQ491">
        <f t="shared" si="530"/>
        <v>0</v>
      </c>
      <c r="AR491">
        <f t="shared" si="531"/>
        <v>0</v>
      </c>
    </row>
    <row r="492" spans="2:44" x14ac:dyDescent="0.25">
      <c r="B492" s="335" t="s">
        <v>1434</v>
      </c>
      <c r="C492" s="253" t="s">
        <v>1427</v>
      </c>
      <c r="D492" s="253"/>
      <c r="E492" s="248" t="s">
        <v>370</v>
      </c>
      <c r="F492" s="248">
        <f t="shared" si="498"/>
        <v>0</v>
      </c>
      <c r="G492" s="248">
        <f t="shared" si="499"/>
        <v>1</v>
      </c>
      <c r="H492" s="248" t="s">
        <v>1429</v>
      </c>
      <c r="I492" s="250">
        <v>10</v>
      </c>
      <c r="J492" s="248"/>
      <c r="K492" s="248" t="s">
        <v>1428</v>
      </c>
      <c r="N492" s="4" t="s">
        <v>36</v>
      </c>
      <c r="P492" s="336">
        <f>4751.25-200</f>
        <v>4551.25</v>
      </c>
      <c r="Q492" s="165">
        <v>0</v>
      </c>
      <c r="R492">
        <v>0</v>
      </c>
      <c r="S492" s="145" t="s">
        <v>1430</v>
      </c>
      <c r="T492" s="61"/>
      <c r="U492" s="61">
        <f t="shared" si="518"/>
        <v>0</v>
      </c>
      <c r="V492" s="7" t="str">
        <f t="shared" si="519"/>
        <v>NONE</v>
      </c>
      <c r="W492" s="56"/>
      <c r="X492" s="5"/>
      <c r="Y492" s="61">
        <f t="shared" si="475"/>
        <v>0</v>
      </c>
      <c r="Z492" s="61"/>
      <c r="AA492" s="1">
        <f t="shared" si="476"/>
        <v>0</v>
      </c>
      <c r="AB492" s="1">
        <f t="shared" si="520"/>
        <v>130</v>
      </c>
      <c r="AC492" s="1"/>
      <c r="AD492" s="65">
        <f t="shared" si="521"/>
        <v>4421.25</v>
      </c>
      <c r="AE492" s="1"/>
      <c r="AF492" s="1">
        <f t="shared" si="522"/>
        <v>30</v>
      </c>
      <c r="AG492" s="1">
        <f>IF(AH492&gt;0,AH332:AH492,0)</f>
        <v>4391.25</v>
      </c>
      <c r="AH492" s="1">
        <f t="shared" si="523"/>
        <v>4391.25</v>
      </c>
      <c r="AJ492">
        <f t="shared" si="524"/>
        <v>0</v>
      </c>
      <c r="AK492">
        <f t="shared" si="525"/>
        <v>0</v>
      </c>
      <c r="AL492">
        <f t="shared" si="526"/>
        <v>0</v>
      </c>
      <c r="AM492">
        <f t="shared" si="527"/>
        <v>0</v>
      </c>
      <c r="AO492">
        <f t="shared" si="528"/>
        <v>0</v>
      </c>
      <c r="AP492">
        <f t="shared" si="529"/>
        <v>0</v>
      </c>
      <c r="AQ492">
        <f t="shared" si="530"/>
        <v>0</v>
      </c>
      <c r="AR492">
        <f t="shared" si="531"/>
        <v>0</v>
      </c>
    </row>
    <row r="493" spans="2:44" x14ac:dyDescent="0.25">
      <c r="B493" s="83" t="s">
        <v>82</v>
      </c>
      <c r="E493" t="s">
        <v>42</v>
      </c>
      <c r="F493">
        <f t="shared" si="498"/>
        <v>8</v>
      </c>
      <c r="G493">
        <f t="shared" si="499"/>
        <v>0</v>
      </c>
      <c r="H493" s="167" t="s">
        <v>1192</v>
      </c>
      <c r="I493" s="121">
        <v>8</v>
      </c>
      <c r="N493" s="4" t="s">
        <v>36</v>
      </c>
      <c r="P493" s="86">
        <v>0</v>
      </c>
      <c r="Q493" s="165">
        <v>0</v>
      </c>
      <c r="R493">
        <v>0</v>
      </c>
      <c r="S493" s="6"/>
      <c r="T493" s="61"/>
      <c r="U493" s="61">
        <f t="shared" si="518"/>
        <v>0</v>
      </c>
      <c r="V493" s="7" t="str">
        <f t="shared" si="519"/>
        <v>NONE</v>
      </c>
      <c r="W493" s="56"/>
      <c r="X493" s="5"/>
      <c r="Y493" s="61">
        <f t="shared" si="475"/>
        <v>0</v>
      </c>
      <c r="Z493" s="61"/>
      <c r="AA493" s="1">
        <f t="shared" si="476"/>
        <v>0</v>
      </c>
      <c r="AB493" s="1">
        <f t="shared" si="520"/>
        <v>130</v>
      </c>
      <c r="AC493" s="1"/>
      <c r="AD493" s="65">
        <f t="shared" si="521"/>
        <v>-130</v>
      </c>
      <c r="AE493" s="1"/>
      <c r="AF493" s="1">
        <f t="shared" si="522"/>
        <v>0</v>
      </c>
      <c r="AG493" s="1">
        <f>IF(AH493&gt;0,AH333:AH493,0)</f>
        <v>0</v>
      </c>
      <c r="AH493" s="1">
        <f t="shared" si="523"/>
        <v>-130</v>
      </c>
      <c r="AJ493">
        <f t="shared" si="524"/>
        <v>0</v>
      </c>
      <c r="AK493">
        <f t="shared" si="525"/>
        <v>0</v>
      </c>
      <c r="AL493">
        <f t="shared" si="526"/>
        <v>0</v>
      </c>
      <c r="AM493">
        <f t="shared" si="527"/>
        <v>0</v>
      </c>
      <c r="AO493">
        <f t="shared" si="528"/>
        <v>0</v>
      </c>
      <c r="AP493">
        <f t="shared" si="529"/>
        <v>0</v>
      </c>
      <c r="AQ493">
        <f t="shared" si="530"/>
        <v>0</v>
      </c>
      <c r="AR493">
        <f t="shared" si="531"/>
        <v>0</v>
      </c>
    </row>
    <row r="494" spans="2:44" x14ac:dyDescent="0.25">
      <c r="B494" s="8"/>
      <c r="F494">
        <f t="shared" si="498"/>
        <v>0</v>
      </c>
      <c r="G494">
        <f t="shared" si="499"/>
        <v>1</v>
      </c>
      <c r="H494" s="121"/>
      <c r="I494" s="121"/>
      <c r="N494" s="4" t="s">
        <v>36</v>
      </c>
      <c r="P494" s="86">
        <v>0</v>
      </c>
      <c r="Q494" s="165">
        <v>0</v>
      </c>
      <c r="R494">
        <v>0</v>
      </c>
      <c r="S494" s="6"/>
      <c r="T494" s="61"/>
      <c r="U494" s="61">
        <f t="shared" si="518"/>
        <v>0</v>
      </c>
      <c r="V494" s="7" t="str">
        <f t="shared" si="519"/>
        <v>NONE</v>
      </c>
      <c r="W494" s="56"/>
      <c r="X494" s="5"/>
      <c r="Y494" s="61">
        <f t="shared" si="475"/>
        <v>0</v>
      </c>
      <c r="Z494" s="61"/>
      <c r="AA494" s="1">
        <f t="shared" si="476"/>
        <v>0</v>
      </c>
      <c r="AB494" s="1">
        <f t="shared" si="520"/>
        <v>0</v>
      </c>
      <c r="AC494" s="1"/>
      <c r="AD494" s="65">
        <f t="shared" si="521"/>
        <v>0</v>
      </c>
      <c r="AE494" s="1"/>
      <c r="AF494" s="1">
        <f t="shared" si="522"/>
        <v>0</v>
      </c>
      <c r="AG494" s="1">
        <f>IF(AH494&gt;0,AH339:AH494,0)</f>
        <v>0</v>
      </c>
      <c r="AH494" s="1">
        <f t="shared" si="523"/>
        <v>0</v>
      </c>
      <c r="AJ494">
        <f t="shared" si="524"/>
        <v>0</v>
      </c>
      <c r="AK494">
        <f t="shared" si="525"/>
        <v>0</v>
      </c>
      <c r="AL494">
        <f t="shared" si="526"/>
        <v>0</v>
      </c>
      <c r="AM494">
        <f t="shared" si="527"/>
        <v>0</v>
      </c>
      <c r="AO494">
        <f t="shared" si="528"/>
        <v>0</v>
      </c>
      <c r="AP494">
        <f t="shared" si="529"/>
        <v>0</v>
      </c>
      <c r="AQ494">
        <f t="shared" si="530"/>
        <v>0</v>
      </c>
      <c r="AR494">
        <f t="shared" si="531"/>
        <v>0</v>
      </c>
    </row>
    <row r="495" spans="2:44" x14ac:dyDescent="0.25">
      <c r="B495" s="8"/>
      <c r="F495">
        <f t="shared" si="498"/>
        <v>0</v>
      </c>
      <c r="G495">
        <f t="shared" si="499"/>
        <v>1</v>
      </c>
      <c r="I495" s="121"/>
      <c r="N495" s="4" t="s">
        <v>36</v>
      </c>
      <c r="P495" s="86">
        <v>0</v>
      </c>
      <c r="Q495" s="165">
        <v>0</v>
      </c>
      <c r="R495">
        <v>0</v>
      </c>
      <c r="S495" s="6"/>
      <c r="T495" s="61"/>
      <c r="U495" s="61">
        <f t="shared" si="518"/>
        <v>0</v>
      </c>
      <c r="V495" s="7" t="str">
        <f t="shared" si="519"/>
        <v>NONE</v>
      </c>
      <c r="W495" s="56"/>
      <c r="X495" s="5"/>
      <c r="Y495" s="61">
        <f t="shared" si="475"/>
        <v>0</v>
      </c>
      <c r="Z495" s="61"/>
      <c r="AA495" s="1">
        <f t="shared" si="476"/>
        <v>0</v>
      </c>
      <c r="AB495" s="1">
        <f t="shared" si="520"/>
        <v>0</v>
      </c>
      <c r="AC495" s="1"/>
      <c r="AD495" s="65">
        <f t="shared" si="521"/>
        <v>0</v>
      </c>
      <c r="AE495" s="1"/>
      <c r="AF495" s="1">
        <f t="shared" si="522"/>
        <v>0</v>
      </c>
      <c r="AG495" s="1">
        <f>IF(AH495&gt;0,AH340:AH495,0)</f>
        <v>0</v>
      </c>
      <c r="AH495" s="1">
        <f t="shared" si="523"/>
        <v>0</v>
      </c>
      <c r="AJ495">
        <f t="shared" si="524"/>
        <v>0</v>
      </c>
      <c r="AK495">
        <f t="shared" si="525"/>
        <v>0</v>
      </c>
      <c r="AL495">
        <f t="shared" si="526"/>
        <v>0</v>
      </c>
      <c r="AM495">
        <f t="shared" si="527"/>
        <v>0</v>
      </c>
      <c r="AO495">
        <f t="shared" si="528"/>
        <v>0</v>
      </c>
      <c r="AP495">
        <f t="shared" si="529"/>
        <v>0</v>
      </c>
      <c r="AQ495">
        <f t="shared" si="530"/>
        <v>0</v>
      </c>
      <c r="AR495">
        <f t="shared" si="531"/>
        <v>0</v>
      </c>
    </row>
    <row r="496" spans="2:44" x14ac:dyDescent="0.25">
      <c r="F496">
        <f t="shared" si="498"/>
        <v>0</v>
      </c>
      <c r="G496">
        <f t="shared" si="499"/>
        <v>1</v>
      </c>
      <c r="I496" s="121"/>
      <c r="N496" s="4" t="s">
        <v>36</v>
      </c>
      <c r="P496" s="86">
        <v>0</v>
      </c>
      <c r="Q496" s="165">
        <v>0</v>
      </c>
      <c r="R496">
        <v>0</v>
      </c>
      <c r="S496" s="6"/>
      <c r="T496" s="61"/>
      <c r="U496" s="61">
        <f t="shared" si="518"/>
        <v>0</v>
      </c>
      <c r="V496" s="7" t="str">
        <f t="shared" si="519"/>
        <v>NONE</v>
      </c>
      <c r="W496" s="56"/>
      <c r="X496" s="5"/>
      <c r="Y496" s="61">
        <f t="shared" si="475"/>
        <v>0</v>
      </c>
      <c r="Z496" s="61"/>
      <c r="AA496" s="1">
        <f t="shared" si="476"/>
        <v>0</v>
      </c>
      <c r="AB496" s="1">
        <f t="shared" si="520"/>
        <v>0</v>
      </c>
      <c r="AC496" s="1"/>
      <c r="AD496" s="65">
        <f t="shared" si="521"/>
        <v>0</v>
      </c>
      <c r="AE496" s="1"/>
      <c r="AF496" s="1">
        <f t="shared" si="522"/>
        <v>0</v>
      </c>
      <c r="AG496" s="1">
        <f>IF(AH496&gt;0,AH339:AH496,0)</f>
        <v>0</v>
      </c>
      <c r="AH496" s="1">
        <f t="shared" si="523"/>
        <v>0</v>
      </c>
      <c r="AJ496">
        <f t="shared" si="524"/>
        <v>0</v>
      </c>
      <c r="AK496">
        <f t="shared" si="525"/>
        <v>0</v>
      </c>
      <c r="AL496">
        <f t="shared" si="526"/>
        <v>0</v>
      </c>
      <c r="AM496">
        <f t="shared" si="527"/>
        <v>0</v>
      </c>
      <c r="AO496">
        <f t="shared" si="528"/>
        <v>0</v>
      </c>
      <c r="AP496">
        <f t="shared" si="529"/>
        <v>0</v>
      </c>
      <c r="AQ496">
        <f t="shared" si="530"/>
        <v>0</v>
      </c>
      <c r="AR496">
        <f t="shared" si="531"/>
        <v>0</v>
      </c>
    </row>
    <row r="497" spans="1:45" x14ac:dyDescent="0.25">
      <c r="C497" s="8"/>
      <c r="D497" s="8"/>
      <c r="F497">
        <f t="shared" si="498"/>
        <v>0</v>
      </c>
      <c r="G497">
        <f t="shared" si="499"/>
        <v>1</v>
      </c>
      <c r="H497" s="121"/>
      <c r="I497" s="121"/>
      <c r="N497" s="4" t="s">
        <v>36</v>
      </c>
      <c r="P497" s="86">
        <v>0</v>
      </c>
      <c r="Q497" s="165">
        <v>0</v>
      </c>
      <c r="R497">
        <v>0</v>
      </c>
      <c r="S497" s="6"/>
      <c r="T497" s="61"/>
      <c r="U497" s="61">
        <f t="shared" si="518"/>
        <v>0</v>
      </c>
      <c r="V497" s="7" t="str">
        <f t="shared" si="519"/>
        <v>NONE</v>
      </c>
      <c r="W497" s="56"/>
      <c r="X497" s="5"/>
      <c r="Y497" s="61">
        <f t="shared" si="475"/>
        <v>0</v>
      </c>
      <c r="Z497" s="61"/>
      <c r="AA497" s="1">
        <f t="shared" si="476"/>
        <v>0</v>
      </c>
      <c r="AB497" s="1">
        <f t="shared" si="520"/>
        <v>0</v>
      </c>
      <c r="AC497" s="1"/>
      <c r="AD497" s="65">
        <f t="shared" si="521"/>
        <v>0</v>
      </c>
      <c r="AE497" s="1"/>
      <c r="AF497" s="1">
        <f t="shared" si="522"/>
        <v>0</v>
      </c>
      <c r="AG497" s="1">
        <f>IF(AH497&gt;0,AH341:AH497,0)</f>
        <v>0</v>
      </c>
      <c r="AH497" s="1">
        <f t="shared" si="523"/>
        <v>0</v>
      </c>
      <c r="AJ497">
        <f t="shared" si="524"/>
        <v>0</v>
      </c>
      <c r="AK497">
        <f t="shared" si="525"/>
        <v>0</v>
      </c>
      <c r="AL497">
        <f t="shared" si="526"/>
        <v>0</v>
      </c>
      <c r="AM497">
        <f t="shared" si="527"/>
        <v>0</v>
      </c>
      <c r="AO497">
        <f t="shared" si="528"/>
        <v>0</v>
      </c>
      <c r="AP497">
        <f t="shared" si="529"/>
        <v>0</v>
      </c>
      <c r="AQ497">
        <f t="shared" si="530"/>
        <v>0</v>
      </c>
      <c r="AR497">
        <f t="shared" si="531"/>
        <v>0</v>
      </c>
    </row>
    <row r="498" spans="1:45" x14ac:dyDescent="0.25">
      <c r="B498" s="8"/>
      <c r="C498" s="8"/>
      <c r="D498" s="8"/>
      <c r="F498">
        <f t="shared" si="498"/>
        <v>0</v>
      </c>
      <c r="G498">
        <f t="shared" si="499"/>
        <v>1</v>
      </c>
      <c r="I498" s="121"/>
      <c r="N498" s="4" t="s">
        <v>36</v>
      </c>
      <c r="P498" s="86">
        <v>0</v>
      </c>
      <c r="Q498" s="165">
        <v>0</v>
      </c>
      <c r="R498">
        <v>0</v>
      </c>
      <c r="S498" s="6"/>
      <c r="T498" s="61"/>
      <c r="U498" s="61">
        <f t="shared" si="518"/>
        <v>0</v>
      </c>
      <c r="V498" s="7" t="str">
        <f t="shared" si="519"/>
        <v>NONE</v>
      </c>
      <c r="W498" s="56"/>
      <c r="X498" s="5"/>
      <c r="Y498" s="61">
        <f t="shared" si="475"/>
        <v>0</v>
      </c>
      <c r="Z498" s="61"/>
      <c r="AA498" s="1">
        <f t="shared" si="476"/>
        <v>0</v>
      </c>
      <c r="AB498" s="1">
        <f t="shared" si="520"/>
        <v>0</v>
      </c>
      <c r="AC498" s="1"/>
      <c r="AD498" s="65">
        <f t="shared" si="521"/>
        <v>0</v>
      </c>
      <c r="AE498" s="1"/>
      <c r="AF498" s="1">
        <f t="shared" si="522"/>
        <v>0</v>
      </c>
      <c r="AG498" s="1">
        <f>IF(AH498&gt;0,AH341:AH498,0)</f>
        <v>0</v>
      </c>
      <c r="AH498" s="1">
        <f t="shared" si="523"/>
        <v>0</v>
      </c>
      <c r="AJ498">
        <f t="shared" si="524"/>
        <v>0</v>
      </c>
      <c r="AK498">
        <f t="shared" si="525"/>
        <v>0</v>
      </c>
      <c r="AL498">
        <f t="shared" si="526"/>
        <v>0</v>
      </c>
      <c r="AM498">
        <f t="shared" si="527"/>
        <v>0</v>
      </c>
      <c r="AO498">
        <f t="shared" si="528"/>
        <v>0</v>
      </c>
      <c r="AP498">
        <f t="shared" si="529"/>
        <v>0</v>
      </c>
      <c r="AQ498">
        <f t="shared" si="530"/>
        <v>0</v>
      </c>
      <c r="AR498">
        <f t="shared" si="531"/>
        <v>0</v>
      </c>
    </row>
    <row r="499" spans="1:45" x14ac:dyDescent="0.25">
      <c r="B499" s="83"/>
      <c r="F499">
        <f t="shared" si="498"/>
        <v>0</v>
      </c>
      <c r="G499">
        <f t="shared" si="499"/>
        <v>1</v>
      </c>
      <c r="I499" s="121"/>
      <c r="N499" s="4"/>
      <c r="P499" s="86">
        <v>0</v>
      </c>
      <c r="Q499" s="165">
        <v>0</v>
      </c>
      <c r="R499">
        <v>0</v>
      </c>
      <c r="S499" s="6"/>
      <c r="T499" s="61"/>
      <c r="U499" s="61">
        <f t="shared" si="518"/>
        <v>0</v>
      </c>
      <c r="V499" s="7" t="str">
        <f t="shared" si="519"/>
        <v>NONE</v>
      </c>
      <c r="W499" s="56"/>
      <c r="X499" s="5"/>
      <c r="Y499" s="61">
        <f t="shared" si="475"/>
        <v>0</v>
      </c>
      <c r="Z499" s="61"/>
      <c r="AA499" s="1">
        <f t="shared" si="476"/>
        <v>0</v>
      </c>
      <c r="AB499" s="1">
        <f t="shared" si="520"/>
        <v>0</v>
      </c>
      <c r="AC499" s="1"/>
      <c r="AD499" s="65">
        <f t="shared" si="521"/>
        <v>0</v>
      </c>
      <c r="AE499" s="1"/>
      <c r="AF499" s="1">
        <f t="shared" si="522"/>
        <v>0</v>
      </c>
      <c r="AG499" s="1">
        <f>IF(AH499&gt;0,AH340:AH499,0)</f>
        <v>0</v>
      </c>
      <c r="AH499" s="1">
        <f t="shared" si="523"/>
        <v>0</v>
      </c>
      <c r="AJ499">
        <f t="shared" si="524"/>
        <v>0</v>
      </c>
      <c r="AK499">
        <f t="shared" si="525"/>
        <v>0</v>
      </c>
      <c r="AL499">
        <f t="shared" si="526"/>
        <v>0</v>
      </c>
      <c r="AM499">
        <f t="shared" si="527"/>
        <v>0</v>
      </c>
      <c r="AO499">
        <f t="shared" si="528"/>
        <v>0</v>
      </c>
      <c r="AP499">
        <f t="shared" si="529"/>
        <v>0</v>
      </c>
      <c r="AQ499">
        <f t="shared" si="530"/>
        <v>0</v>
      </c>
      <c r="AR499">
        <f t="shared" si="531"/>
        <v>0</v>
      </c>
    </row>
    <row r="500" spans="1:45" x14ac:dyDescent="0.25">
      <c r="A500" s="40"/>
      <c r="B500" s="155">
        <f>COUNTIFS(E454:E499,"&lt;&gt;"&amp;B13)-COUNTIFS(E454:E499,"="&amp;B12)</f>
        <v>23</v>
      </c>
      <c r="C500" s="284" t="s">
        <v>1275</v>
      </c>
      <c r="D500" s="286">
        <f>COUNTIFS(E454:E499,"=FS")</f>
        <v>9</v>
      </c>
      <c r="E500" s="155">
        <f>SUM(F454:F499)</f>
        <v>72</v>
      </c>
      <c r="F500" s="40"/>
      <c r="G500" s="40"/>
      <c r="H500" s="283" t="s">
        <v>1274</v>
      </c>
      <c r="I500" s="53">
        <f>SUM(I454:I499)-SUM(F454:F499)</f>
        <v>190</v>
      </c>
      <c r="J500" s="53"/>
      <c r="K500" s="53">
        <f>ROUND(I500/7,0)</f>
        <v>27</v>
      </c>
      <c r="L500" s="52" t="s">
        <v>214</v>
      </c>
      <c r="M500" s="54" t="s">
        <v>216</v>
      </c>
      <c r="N500" s="123">
        <f>IF(K500&gt;0,ROUND(AG500/K500,0),0)</f>
        <v>1984</v>
      </c>
      <c r="O500" s="40"/>
      <c r="P500" s="71">
        <f>SUM(P454:P499)</f>
        <v>56752.46</v>
      </c>
      <c r="Q500" s="43"/>
      <c r="R500" s="69">
        <f>AA500</f>
        <v>0</v>
      </c>
      <c r="S500" s="68" t="s">
        <v>254</v>
      </c>
      <c r="T500" s="101"/>
      <c r="U500" s="62"/>
      <c r="V500" s="42"/>
      <c r="W500" s="42"/>
      <c r="X500" s="41"/>
      <c r="Y500" s="43"/>
      <c r="Z500" s="43">
        <f>AA500</f>
        <v>0</v>
      </c>
      <c r="AA500" s="43">
        <f>SUM(AA454:AA499)</f>
        <v>0</v>
      </c>
      <c r="AB500" s="43">
        <f>SUM(AB454:AB499)</f>
        <v>4160</v>
      </c>
      <c r="AC500" s="43">
        <f>AB500</f>
        <v>4160</v>
      </c>
      <c r="AD500" s="40"/>
      <c r="AE500" s="43"/>
      <c r="AF500" s="43">
        <f>SUM(AF454:AF499)</f>
        <v>480</v>
      </c>
      <c r="AG500" s="43">
        <f>SUM(AG454:AG499)</f>
        <v>53572.46</v>
      </c>
      <c r="AH500" s="71">
        <f>SUM(AH454:AH499)</f>
        <v>52112.46</v>
      </c>
      <c r="AI500" s="40">
        <f>AH500</f>
        <v>52112.46</v>
      </c>
      <c r="AJ500" s="104">
        <f>SUM(AJ454:AJ499)</f>
        <v>0</v>
      </c>
      <c r="AK500" s="104">
        <f>SUM(AK454:AK499)</f>
        <v>0</v>
      </c>
      <c r="AL500" s="104">
        <f>SUM(AL454:AL499)</f>
        <v>0</v>
      </c>
      <c r="AM500" s="104">
        <f>SUM(AM454:AM499)</f>
        <v>0</v>
      </c>
      <c r="AN500" s="106">
        <f>SUM(AJ500:AM500)</f>
        <v>0</v>
      </c>
      <c r="AO500" s="104">
        <f>SUM(AO454:AO499)</f>
        <v>0</v>
      </c>
      <c r="AP500" s="104">
        <f>SUM(AP454:AP499)</f>
        <v>0</v>
      </c>
      <c r="AQ500" s="104">
        <f>SUM(AQ454:AQ499)</f>
        <v>0</v>
      </c>
      <c r="AR500" s="104">
        <f>SUM(AR454:AR499)</f>
        <v>0</v>
      </c>
      <c r="AS500" s="106">
        <f>SUM(AO500:AR500)</f>
        <v>0</v>
      </c>
    </row>
    <row r="501" spans="1:45" ht="21" customHeight="1" x14ac:dyDescent="0.35">
      <c r="A501" s="105"/>
      <c r="B501" s="122">
        <v>2022</v>
      </c>
      <c r="C501" s="107"/>
      <c r="D501" s="107"/>
      <c r="E501" s="105"/>
      <c r="F501" s="105"/>
      <c r="G501" s="105"/>
      <c r="H501" s="108"/>
      <c r="I501" s="109"/>
      <c r="J501" s="109"/>
      <c r="K501" s="110"/>
      <c r="L501" s="110"/>
      <c r="M501" s="108"/>
      <c r="N501" s="111"/>
      <c r="O501" s="105"/>
      <c r="P501" s="112"/>
      <c r="Q501" s="113"/>
      <c r="R501" s="114"/>
      <c r="S501" s="115"/>
      <c r="T501" s="116"/>
      <c r="U501" s="117"/>
      <c r="V501" s="118"/>
      <c r="W501" s="118"/>
      <c r="X501" s="119"/>
      <c r="Y501" s="113"/>
      <c r="Z501" s="113"/>
      <c r="AA501" s="113"/>
      <c r="AB501" s="113"/>
      <c r="AC501" s="113"/>
      <c r="AD501" s="105"/>
      <c r="AE501" s="113"/>
      <c r="AF501" s="113"/>
      <c r="AG501" s="113"/>
      <c r="AH501" s="112"/>
      <c r="AI501" s="105"/>
      <c r="AJ501" s="96">
        <f>ROUNDUP(AJ500*0.05,0)</f>
        <v>0</v>
      </c>
      <c r="AK501" s="96">
        <f>ROUNDUP(AK500*0.05,0)</f>
        <v>0</v>
      </c>
      <c r="AL501" s="96">
        <f>ROUNDUP(AL500*0.05,0)</f>
        <v>0</v>
      </c>
      <c r="AM501" s="96">
        <f>ROUNDUP(AM500*0.05,0)</f>
        <v>0</v>
      </c>
      <c r="AN501" s="106">
        <f>SUM(AJ501:AM501)</f>
        <v>0</v>
      </c>
      <c r="AO501" s="96">
        <f>ROUNDUP(AO500*0.06,0)</f>
        <v>0</v>
      </c>
      <c r="AP501" s="96">
        <f>ROUNDUP(AP500*0.06,0)</f>
        <v>0</v>
      </c>
      <c r="AQ501" s="96">
        <f>ROUNDUP(AQ500*0.06,0)</f>
        <v>0</v>
      </c>
      <c r="AR501" s="96">
        <f>ROUNDUP(AR500*0.06,0)</f>
        <v>0</v>
      </c>
      <c r="AS501" s="106">
        <f>SUM(AO501:AR501)</f>
        <v>0</v>
      </c>
    </row>
    <row r="502" spans="1:45" ht="18.75" x14ac:dyDescent="0.35">
      <c r="B502" s="233"/>
      <c r="F502">
        <f>IF(E502=$B$12,I502,0)</f>
        <v>0</v>
      </c>
      <c r="G502">
        <f>IF(F502&gt;0,0,1)</f>
        <v>1</v>
      </c>
      <c r="I502" s="121"/>
      <c r="N502" s="4" t="s">
        <v>36</v>
      </c>
      <c r="P502" s="191">
        <v>0</v>
      </c>
      <c r="Q502" s="165">
        <v>0</v>
      </c>
      <c r="R502">
        <v>0</v>
      </c>
      <c r="S502" s="6"/>
      <c r="T502" s="61"/>
      <c r="U502" s="61">
        <f t="shared" ref="U502:U517" si="532">IF(V502=$AE$2,47,IF(V502=$AE$1,ROUND(((P502+500)*0.039),0),IF(V502=$AE$3,0)))</f>
        <v>0</v>
      </c>
      <c r="V502" s="7" t="str">
        <f t="shared" ref="V502:V512" si="533">IF(W502=1,$AE$2,IF(W502=2,$AE$1,IF(AND(W502&lt;&gt;1,W502&lt;&gt;20)=TRUE,$AE$3)))</f>
        <v>NONE</v>
      </c>
      <c r="W502" s="56"/>
      <c r="X502" s="5"/>
      <c r="Y502" s="61">
        <f t="shared" ref="Y502:Y544" si="534">R502+Q502</f>
        <v>0</v>
      </c>
      <c r="Z502" s="61"/>
      <c r="AA502" s="1">
        <f t="shared" ref="AA502:AA544" si="535">IF(X502=$AA$1,R502-500, IF(S502="SITE",R502, IF(X502="A/D/F1/500",R502, 0)))</f>
        <v>0</v>
      </c>
      <c r="AB502" s="1">
        <f t="shared" ref="AB502:AB512" si="536">IF(I502&gt;0,130,0)</f>
        <v>0</v>
      </c>
      <c r="AC502" s="1"/>
      <c r="AD502" s="65">
        <f t="shared" ref="AD502:AD512" si="537">(P502+U502)-AB502</f>
        <v>0</v>
      </c>
      <c r="AE502" s="1"/>
      <c r="AF502" s="1">
        <f t="shared" ref="AF502:AF512" si="538">IF(I502&gt;0,30*G502,0)</f>
        <v>0</v>
      </c>
      <c r="AG502" s="1">
        <f>IF(AH502&gt;0,AH373:AH502,0)</f>
        <v>0</v>
      </c>
      <c r="AH502" s="1">
        <f t="shared" ref="AH502:AH508" si="539">AD502-AF502</f>
        <v>0</v>
      </c>
      <c r="AJ502">
        <f t="shared" ref="AJ502:AJ508" si="540">IF(T502=1,P502-U502,0)</f>
        <v>0</v>
      </c>
      <c r="AK502">
        <f t="shared" ref="AK502:AK508" si="541">IF(T502=2,P502-U502,0)</f>
        <v>0</v>
      </c>
      <c r="AL502">
        <f t="shared" ref="AL502:AL508" si="542">IF(T502=3,P502-U502,0)</f>
        <v>0</v>
      </c>
      <c r="AM502">
        <f t="shared" ref="AM502:AM508" si="543">IF(T502=4,P502-U502,0)</f>
        <v>0</v>
      </c>
      <c r="AO502">
        <f t="shared" ref="AO502:AO508" si="544">IF(T502=1,P502-U502,0)</f>
        <v>0</v>
      </c>
      <c r="AP502">
        <f t="shared" ref="AP502:AP508" si="545">IF(T502=2,P502-U502,0)</f>
        <v>0</v>
      </c>
      <c r="AQ502">
        <f t="shared" ref="AQ502:AQ508" si="546">IF(T502=3,P502-U502,0)</f>
        <v>0</v>
      </c>
      <c r="AR502">
        <f t="shared" ref="AR502:AR508" si="547">IF(T502=4,P502-U502,0)</f>
        <v>0</v>
      </c>
    </row>
    <row r="503" spans="1:45" x14ac:dyDescent="0.25">
      <c r="B503" s="299"/>
      <c r="C503" s="248"/>
      <c r="D503" s="249"/>
      <c r="E503" s="248"/>
      <c r="F503" s="248"/>
      <c r="G503" s="248"/>
      <c r="H503" s="248"/>
      <c r="I503" s="250"/>
      <c r="J503" s="248"/>
      <c r="K503" s="248"/>
      <c r="L503" s="248"/>
      <c r="M503" s="280"/>
      <c r="N503" s="4" t="s">
        <v>36</v>
      </c>
      <c r="P503" s="191">
        <v>0</v>
      </c>
      <c r="Q503" s="165">
        <v>0</v>
      </c>
      <c r="R503">
        <v>0</v>
      </c>
      <c r="S503" s="6"/>
      <c r="T503" s="61"/>
      <c r="U503" s="61">
        <f t="shared" si="532"/>
        <v>0</v>
      </c>
      <c r="V503" s="7" t="str">
        <f t="shared" si="533"/>
        <v>NONE</v>
      </c>
      <c r="W503" s="56"/>
      <c r="X503" s="5"/>
      <c r="Y503" s="61">
        <f t="shared" si="534"/>
        <v>0</v>
      </c>
      <c r="Z503" s="61"/>
      <c r="AA503" s="1">
        <f t="shared" si="535"/>
        <v>0</v>
      </c>
      <c r="AB503" s="1">
        <f t="shared" si="536"/>
        <v>0</v>
      </c>
      <c r="AC503" s="1"/>
      <c r="AD503" s="65">
        <f t="shared" si="537"/>
        <v>0</v>
      </c>
      <c r="AE503" s="1"/>
      <c r="AF503" s="1">
        <f t="shared" si="538"/>
        <v>0</v>
      </c>
      <c r="AG503" s="1">
        <f>IF(AH503&gt;0,AH357:AH503,0)</f>
        <v>0</v>
      </c>
      <c r="AH503" s="1">
        <f t="shared" si="539"/>
        <v>0</v>
      </c>
      <c r="AJ503">
        <f t="shared" si="540"/>
        <v>0</v>
      </c>
      <c r="AK503">
        <f t="shared" si="541"/>
        <v>0</v>
      </c>
      <c r="AL503">
        <f t="shared" si="542"/>
        <v>0</v>
      </c>
      <c r="AM503">
        <f t="shared" si="543"/>
        <v>0</v>
      </c>
      <c r="AO503">
        <f t="shared" si="544"/>
        <v>0</v>
      </c>
      <c r="AP503">
        <f t="shared" si="545"/>
        <v>0</v>
      </c>
      <c r="AQ503">
        <f t="shared" si="546"/>
        <v>0</v>
      </c>
      <c r="AR503">
        <f t="shared" si="547"/>
        <v>0</v>
      </c>
    </row>
    <row r="504" spans="1:45" x14ac:dyDescent="0.25">
      <c r="B504" s="83" t="s">
        <v>82</v>
      </c>
      <c r="C504" s="253"/>
      <c r="D504" s="253"/>
      <c r="E504" s="248" t="s">
        <v>42</v>
      </c>
      <c r="F504" s="248">
        <v>8</v>
      </c>
      <c r="G504" s="248">
        <v>0</v>
      </c>
      <c r="H504" s="248" t="s">
        <v>1378</v>
      </c>
      <c r="I504" s="250">
        <v>3</v>
      </c>
      <c r="J504" s="248"/>
      <c r="K504" s="248"/>
      <c r="L504" s="248"/>
      <c r="M504" s="280"/>
      <c r="N504" s="4" t="s">
        <v>36</v>
      </c>
      <c r="P504" s="191">
        <v>0</v>
      </c>
      <c r="Q504" s="165">
        <v>0</v>
      </c>
      <c r="R504">
        <v>0</v>
      </c>
      <c r="S504" s="6"/>
      <c r="T504" s="61"/>
      <c r="U504" s="61">
        <f t="shared" si="532"/>
        <v>0</v>
      </c>
      <c r="V504" s="7" t="str">
        <f t="shared" si="533"/>
        <v>NONE</v>
      </c>
      <c r="W504" s="56"/>
      <c r="X504" s="5"/>
      <c r="Y504" s="61">
        <f t="shared" si="534"/>
        <v>0</v>
      </c>
      <c r="Z504" s="61"/>
      <c r="AA504" s="1">
        <f t="shared" si="535"/>
        <v>0</v>
      </c>
      <c r="AB504" s="1">
        <f t="shared" si="536"/>
        <v>130</v>
      </c>
      <c r="AC504" s="1"/>
      <c r="AD504" s="65">
        <f t="shared" si="537"/>
        <v>-130</v>
      </c>
      <c r="AE504" s="1"/>
      <c r="AF504" s="1">
        <f t="shared" si="538"/>
        <v>0</v>
      </c>
      <c r="AG504" s="1">
        <f>IF(AH504&gt;0,AH359:AH504,0)</f>
        <v>0</v>
      </c>
      <c r="AH504" s="1">
        <f t="shared" si="539"/>
        <v>-130</v>
      </c>
      <c r="AJ504">
        <f t="shared" si="540"/>
        <v>0</v>
      </c>
      <c r="AK504">
        <f t="shared" si="541"/>
        <v>0</v>
      </c>
      <c r="AL504">
        <f t="shared" si="542"/>
        <v>0</v>
      </c>
      <c r="AM504">
        <f t="shared" si="543"/>
        <v>0</v>
      </c>
      <c r="AO504">
        <f t="shared" si="544"/>
        <v>0</v>
      </c>
      <c r="AP504">
        <f t="shared" si="545"/>
        <v>0</v>
      </c>
      <c r="AQ504">
        <f t="shared" si="546"/>
        <v>0</v>
      </c>
      <c r="AR504">
        <f t="shared" si="547"/>
        <v>0</v>
      </c>
    </row>
    <row r="505" spans="1:45" x14ac:dyDescent="0.25">
      <c r="B505" s="253"/>
      <c r="C505" s="248"/>
      <c r="D505" s="249"/>
      <c r="E505" s="287"/>
      <c r="F505" s="248"/>
      <c r="G505" s="248"/>
      <c r="H505" s="250"/>
      <c r="I505" s="250"/>
      <c r="J505" s="248"/>
      <c r="K505" s="248"/>
      <c r="L505" s="248"/>
      <c r="M505" s="280"/>
      <c r="N505" s="4" t="s">
        <v>36</v>
      </c>
      <c r="P505" s="191">
        <v>0</v>
      </c>
      <c r="Q505" s="165">
        <v>0</v>
      </c>
      <c r="R505">
        <v>0</v>
      </c>
      <c r="S505" s="6"/>
      <c r="T505" s="61"/>
      <c r="U505" s="61">
        <f t="shared" si="532"/>
        <v>0</v>
      </c>
      <c r="V505" s="7" t="str">
        <f t="shared" si="533"/>
        <v>NONE</v>
      </c>
      <c r="W505" s="56"/>
      <c r="X505" s="5"/>
      <c r="Y505" s="61">
        <f t="shared" si="534"/>
        <v>0</v>
      </c>
      <c r="Z505" s="61"/>
      <c r="AA505" s="1">
        <f t="shared" si="535"/>
        <v>0</v>
      </c>
      <c r="AB505" s="1">
        <f t="shared" si="536"/>
        <v>0</v>
      </c>
      <c r="AC505" s="1"/>
      <c r="AD505" s="65">
        <f t="shared" si="537"/>
        <v>0</v>
      </c>
      <c r="AE505" s="1"/>
      <c r="AF505" s="1">
        <f t="shared" si="538"/>
        <v>0</v>
      </c>
      <c r="AG505" s="1">
        <f>IF(AH505&gt;0,AH358:AH520,0)</f>
        <v>0</v>
      </c>
      <c r="AH505" s="1">
        <f t="shared" si="539"/>
        <v>0</v>
      </c>
      <c r="AJ505">
        <f t="shared" si="540"/>
        <v>0</v>
      </c>
      <c r="AK505">
        <f t="shared" si="541"/>
        <v>0</v>
      </c>
      <c r="AL505">
        <f t="shared" si="542"/>
        <v>0</v>
      </c>
      <c r="AM505">
        <f t="shared" si="543"/>
        <v>0</v>
      </c>
      <c r="AO505">
        <f t="shared" si="544"/>
        <v>0</v>
      </c>
      <c r="AP505">
        <f t="shared" si="545"/>
        <v>0</v>
      </c>
      <c r="AQ505">
        <f t="shared" si="546"/>
        <v>0</v>
      </c>
      <c r="AR505">
        <f t="shared" si="547"/>
        <v>0</v>
      </c>
    </row>
    <row r="506" spans="1:45" x14ac:dyDescent="0.25">
      <c r="B506" s="250" t="s">
        <v>1411</v>
      </c>
      <c r="C506" s="248" t="s">
        <v>1443</v>
      </c>
      <c r="D506" s="249"/>
      <c r="E506" s="287" t="s">
        <v>899</v>
      </c>
      <c r="F506" s="248"/>
      <c r="G506" s="248"/>
      <c r="H506" s="248" t="s">
        <v>1377</v>
      </c>
      <c r="I506" s="250">
        <v>32</v>
      </c>
      <c r="J506" s="248"/>
      <c r="K506" s="248"/>
      <c r="L506" s="248"/>
      <c r="M506" s="280"/>
      <c r="N506" s="4" t="s">
        <v>36</v>
      </c>
      <c r="P506" s="347">
        <v>10046.2592</v>
      </c>
      <c r="Q506" s="165">
        <v>500</v>
      </c>
      <c r="R506" s="324">
        <f>P506-Q506</f>
        <v>9546.2592000000004</v>
      </c>
      <c r="S506" s="343"/>
      <c r="T506" s="314"/>
      <c r="U506" s="61">
        <f t="shared" si="532"/>
        <v>0</v>
      </c>
      <c r="V506" s="7" t="str">
        <f t="shared" si="533"/>
        <v>NONE</v>
      </c>
      <c r="W506" s="56"/>
      <c r="X506" s="5"/>
      <c r="Y506" s="61">
        <f t="shared" si="534"/>
        <v>10046.2592</v>
      </c>
      <c r="Z506" s="61"/>
      <c r="AA506" s="1">
        <f t="shared" si="535"/>
        <v>0</v>
      </c>
      <c r="AB506" s="1">
        <f t="shared" si="536"/>
        <v>130</v>
      </c>
      <c r="AC506" s="1"/>
      <c r="AD506" s="65">
        <f t="shared" si="537"/>
        <v>9916.2592000000004</v>
      </c>
      <c r="AE506" s="1"/>
      <c r="AF506" s="1">
        <f t="shared" si="538"/>
        <v>0</v>
      </c>
      <c r="AG506" s="1">
        <f>IF(AH506&gt;0,AH358:AH506,0)</f>
        <v>9916.2592000000004</v>
      </c>
      <c r="AH506" s="1">
        <f t="shared" si="539"/>
        <v>9916.2592000000004</v>
      </c>
      <c r="AJ506">
        <f t="shared" si="540"/>
        <v>0</v>
      </c>
      <c r="AK506">
        <f t="shared" si="541"/>
        <v>0</v>
      </c>
      <c r="AL506">
        <f t="shared" si="542"/>
        <v>0</v>
      </c>
      <c r="AM506">
        <f t="shared" si="543"/>
        <v>0</v>
      </c>
      <c r="AO506">
        <f t="shared" si="544"/>
        <v>0</v>
      </c>
      <c r="AP506">
        <f t="shared" si="545"/>
        <v>0</v>
      </c>
      <c r="AQ506">
        <f t="shared" si="546"/>
        <v>0</v>
      </c>
      <c r="AR506">
        <f t="shared" si="547"/>
        <v>0</v>
      </c>
    </row>
    <row r="507" spans="1:45" x14ac:dyDescent="0.25">
      <c r="B507" s="250"/>
      <c r="C507" s="248"/>
      <c r="D507" s="249"/>
      <c r="E507" s="248"/>
      <c r="F507" s="248"/>
      <c r="G507" s="248"/>
      <c r="H507" s="248"/>
      <c r="I507" s="250"/>
      <c r="J507" s="248"/>
      <c r="K507" s="248"/>
      <c r="L507" s="248"/>
      <c r="M507" s="280"/>
      <c r="N507" s="4" t="s">
        <v>36</v>
      </c>
      <c r="P507" s="191">
        <v>0</v>
      </c>
      <c r="Q507" s="165">
        <v>0</v>
      </c>
      <c r="R507">
        <v>0</v>
      </c>
      <c r="S507" s="6"/>
      <c r="T507" s="61"/>
      <c r="U507" s="61">
        <f t="shared" si="532"/>
        <v>0</v>
      </c>
      <c r="V507" s="7" t="str">
        <f t="shared" si="533"/>
        <v>NONE</v>
      </c>
      <c r="W507" s="56"/>
      <c r="X507" s="5"/>
      <c r="Y507" s="61">
        <f t="shared" si="534"/>
        <v>0</v>
      </c>
      <c r="Z507" s="61"/>
      <c r="AA507" s="1">
        <f t="shared" si="535"/>
        <v>0</v>
      </c>
      <c r="AB507" s="1">
        <f t="shared" si="536"/>
        <v>0</v>
      </c>
      <c r="AC507" s="1"/>
      <c r="AD507" s="65">
        <f t="shared" si="537"/>
        <v>0</v>
      </c>
      <c r="AE507" s="1"/>
      <c r="AF507" s="1">
        <f t="shared" si="538"/>
        <v>0</v>
      </c>
      <c r="AG507" s="1">
        <f>IF(AH507&gt;0,AH359:AH507,0)</f>
        <v>0</v>
      </c>
      <c r="AH507" s="1">
        <f t="shared" si="539"/>
        <v>0</v>
      </c>
      <c r="AJ507">
        <f t="shared" si="540"/>
        <v>0</v>
      </c>
      <c r="AK507">
        <f t="shared" si="541"/>
        <v>0</v>
      </c>
      <c r="AL507">
        <f t="shared" si="542"/>
        <v>0</v>
      </c>
      <c r="AM507">
        <f t="shared" si="543"/>
        <v>0</v>
      </c>
      <c r="AO507">
        <f t="shared" si="544"/>
        <v>0</v>
      </c>
      <c r="AP507">
        <f t="shared" si="545"/>
        <v>0</v>
      </c>
      <c r="AQ507">
        <f t="shared" si="546"/>
        <v>0</v>
      </c>
      <c r="AR507">
        <f t="shared" si="547"/>
        <v>0</v>
      </c>
    </row>
    <row r="508" spans="1:45" ht="17.45" customHeight="1" x14ac:dyDescent="0.4">
      <c r="B508" s="83" t="s">
        <v>82</v>
      </c>
      <c r="D508" s="300"/>
      <c r="E508" s="248" t="s">
        <v>42</v>
      </c>
      <c r="F508" s="248"/>
      <c r="G508" s="248"/>
      <c r="H508" s="250" t="s">
        <v>1332</v>
      </c>
      <c r="I508" s="250">
        <v>5</v>
      </c>
      <c r="J508" s="248"/>
      <c r="K508" s="248"/>
      <c r="L508" s="248"/>
      <c r="M508" s="301"/>
      <c r="N508" s="4" t="s">
        <v>36</v>
      </c>
      <c r="P508" s="191">
        <v>0</v>
      </c>
      <c r="Q508" s="165">
        <v>0</v>
      </c>
      <c r="R508">
        <v>0</v>
      </c>
      <c r="S508" s="6"/>
      <c r="T508" s="61"/>
      <c r="U508" s="61">
        <f t="shared" si="532"/>
        <v>0</v>
      </c>
      <c r="V508" s="7" t="str">
        <f t="shared" si="533"/>
        <v>NONE</v>
      </c>
      <c r="W508" s="56"/>
      <c r="X508" s="5"/>
      <c r="Y508" s="61">
        <f t="shared" si="534"/>
        <v>0</v>
      </c>
      <c r="Z508" s="61"/>
      <c r="AA508" s="1">
        <f t="shared" si="535"/>
        <v>0</v>
      </c>
      <c r="AB508" s="1">
        <f t="shared" si="536"/>
        <v>130</v>
      </c>
      <c r="AC508" s="1"/>
      <c r="AD508" s="65">
        <f t="shared" si="537"/>
        <v>-130</v>
      </c>
      <c r="AE508" s="1"/>
      <c r="AF508" s="1">
        <f t="shared" si="538"/>
        <v>0</v>
      </c>
      <c r="AG508" s="1">
        <f>IF(AH508&gt;0,AH369:AH508,0)</f>
        <v>0</v>
      </c>
      <c r="AH508" s="1">
        <f t="shared" si="539"/>
        <v>-130</v>
      </c>
      <c r="AJ508">
        <f t="shared" si="540"/>
        <v>0</v>
      </c>
      <c r="AK508">
        <f t="shared" si="541"/>
        <v>0</v>
      </c>
      <c r="AL508">
        <f t="shared" si="542"/>
        <v>0</v>
      </c>
      <c r="AM508">
        <f t="shared" si="543"/>
        <v>0</v>
      </c>
      <c r="AO508">
        <f t="shared" si="544"/>
        <v>0</v>
      </c>
      <c r="AP508">
        <f t="shared" si="545"/>
        <v>0</v>
      </c>
      <c r="AQ508">
        <f t="shared" si="546"/>
        <v>0</v>
      </c>
      <c r="AR508">
        <f t="shared" si="547"/>
        <v>0</v>
      </c>
    </row>
    <row r="509" spans="1:45" x14ac:dyDescent="0.25">
      <c r="B509" s="253" t="s">
        <v>1395</v>
      </c>
      <c r="C509" s="282" t="s">
        <v>1394</v>
      </c>
      <c r="D509" s="254"/>
      <c r="E509" s="248" t="s">
        <v>370</v>
      </c>
      <c r="F509" s="248"/>
      <c r="G509" s="248"/>
      <c r="H509" s="248" t="s">
        <v>1393</v>
      </c>
      <c r="I509" s="250">
        <v>9</v>
      </c>
      <c r="J509" s="248"/>
      <c r="K509" s="248" t="s">
        <v>1396</v>
      </c>
      <c r="L509" s="248"/>
      <c r="M509" s="280"/>
      <c r="N509" s="4" t="s">
        <v>36</v>
      </c>
      <c r="P509" s="191">
        <v>3362</v>
      </c>
      <c r="Q509" s="165">
        <v>0</v>
      </c>
      <c r="R509">
        <v>0</v>
      </c>
      <c r="S509" s="156" t="s">
        <v>1472</v>
      </c>
      <c r="T509" s="61"/>
      <c r="U509" s="61">
        <f t="shared" si="532"/>
        <v>0</v>
      </c>
      <c r="V509" s="7" t="str">
        <f t="shared" si="533"/>
        <v>NONE</v>
      </c>
      <c r="W509" s="56"/>
      <c r="X509" s="5"/>
      <c r="Y509" s="61">
        <f t="shared" si="534"/>
        <v>0</v>
      </c>
      <c r="Z509" s="61"/>
      <c r="AA509" s="1">
        <f t="shared" si="535"/>
        <v>0</v>
      </c>
      <c r="AB509" s="1">
        <f t="shared" si="536"/>
        <v>130</v>
      </c>
      <c r="AC509" s="1"/>
      <c r="AD509" s="65">
        <f t="shared" si="537"/>
        <v>3232</v>
      </c>
      <c r="AE509" s="1"/>
      <c r="AF509" s="1">
        <f t="shared" si="538"/>
        <v>0</v>
      </c>
      <c r="AG509" s="1">
        <f>IF(AH509&gt;0,AH348:AH509,0)</f>
        <v>3232</v>
      </c>
      <c r="AH509" s="1">
        <f t="shared" ref="AH509:AH524" si="548">AD509-AF509</f>
        <v>3232</v>
      </c>
      <c r="AJ509">
        <f>IF(T509=1,P509-U509,0)</f>
        <v>0</v>
      </c>
      <c r="AK509">
        <f>IF(T509=2,P509-U509,0)</f>
        <v>0</v>
      </c>
      <c r="AL509">
        <f>IF(T509=3,P509-U509,0)</f>
        <v>0</v>
      </c>
      <c r="AM509">
        <f>IF(T509=4,P509-U509,0)</f>
        <v>0</v>
      </c>
      <c r="AO509">
        <f>IF(T509=1,P509-U509,0)</f>
        <v>0</v>
      </c>
      <c r="AP509">
        <f>IF(T509=2,P509-U509,0)</f>
        <v>0</v>
      </c>
      <c r="AQ509">
        <f>IF(T509=3,P509-U509,0)</f>
        <v>0</v>
      </c>
      <c r="AR509">
        <f>IF(T509=4,P509-U509,0)</f>
        <v>0</v>
      </c>
    </row>
    <row r="510" spans="1:45" ht="16.5" x14ac:dyDescent="0.3">
      <c r="B510" s="251" t="s">
        <v>1410</v>
      </c>
      <c r="C510" s="249" t="s">
        <v>1464</v>
      </c>
      <c r="D510" s="248"/>
      <c r="E510" s="287" t="s">
        <v>899</v>
      </c>
      <c r="F510" s="248"/>
      <c r="G510" s="248"/>
      <c r="H510" s="248" t="s">
        <v>1465</v>
      </c>
      <c r="I510" s="250">
        <v>6</v>
      </c>
      <c r="J510" s="248"/>
      <c r="K510" s="248" t="s">
        <v>615</v>
      </c>
      <c r="L510" s="248"/>
      <c r="M510" s="280"/>
      <c r="N510" s="4" t="s">
        <v>36</v>
      </c>
      <c r="P510" s="191">
        <f>3355.66-500+2500</f>
        <v>5355.66</v>
      </c>
      <c r="Q510" s="165">
        <v>0</v>
      </c>
      <c r="R510">
        <v>0</v>
      </c>
      <c r="S510" s="6" t="s">
        <v>1409</v>
      </c>
      <c r="T510" s="61"/>
      <c r="U510" s="61">
        <f t="shared" si="532"/>
        <v>0</v>
      </c>
      <c r="V510" s="7" t="str">
        <f t="shared" si="533"/>
        <v>NONE</v>
      </c>
      <c r="W510" s="56"/>
      <c r="X510" s="5"/>
      <c r="Y510" s="61">
        <f t="shared" si="534"/>
        <v>0</v>
      </c>
      <c r="Z510" s="61"/>
      <c r="AA510" s="1">
        <f t="shared" si="535"/>
        <v>0</v>
      </c>
      <c r="AB510" s="1">
        <f t="shared" si="536"/>
        <v>130</v>
      </c>
      <c r="AC510" s="1"/>
      <c r="AD510" s="65">
        <f t="shared" si="537"/>
        <v>5225.66</v>
      </c>
      <c r="AE510" s="1"/>
      <c r="AF510" s="1">
        <f t="shared" si="538"/>
        <v>0</v>
      </c>
      <c r="AG510" s="1">
        <f>IF(AH510&gt;0,AH360:AH510,0)</f>
        <v>5225.66</v>
      </c>
      <c r="AH510" s="1">
        <f t="shared" si="548"/>
        <v>5225.66</v>
      </c>
      <c r="AJ510">
        <f>IF(T510=1,P510-U510,0)</f>
        <v>0</v>
      </c>
      <c r="AK510">
        <f>IF(T510=2,P510-U510,0)</f>
        <v>0</v>
      </c>
      <c r="AL510">
        <f>IF(T510=3,P510-U510,0)</f>
        <v>0</v>
      </c>
      <c r="AM510">
        <f>IF(T510=4,P510-U510,0)</f>
        <v>0</v>
      </c>
      <c r="AO510">
        <f>IF(T510=1,P510-U510,0)</f>
        <v>0</v>
      </c>
      <c r="AP510">
        <f>IF(T510=2,P510-U510,0)</f>
        <v>0</v>
      </c>
      <c r="AQ510">
        <f>IF(T510=3,P510-U510,0)</f>
        <v>0</v>
      </c>
      <c r="AR510">
        <f>IF(T510=4,P510-U510,0)</f>
        <v>0</v>
      </c>
    </row>
    <row r="511" spans="1:45" x14ac:dyDescent="0.25">
      <c r="B511" s="348" t="s">
        <v>1466</v>
      </c>
      <c r="C511" s="99" t="s">
        <v>1440</v>
      </c>
      <c r="D511" s="99"/>
      <c r="E511" s="262" t="s">
        <v>370</v>
      </c>
      <c r="F511" s="99"/>
      <c r="G511" s="99"/>
      <c r="H511" s="262" t="s">
        <v>1439</v>
      </c>
      <c r="I511" s="262">
        <v>7</v>
      </c>
      <c r="J511" s="99"/>
      <c r="K511" s="262" t="s">
        <v>615</v>
      </c>
      <c r="L511" s="248"/>
      <c r="M511" s="301"/>
      <c r="N511" s="4" t="s">
        <v>36</v>
      </c>
      <c r="P511" s="191">
        <v>0</v>
      </c>
      <c r="Q511" s="165">
        <v>0</v>
      </c>
      <c r="R511">
        <v>0</v>
      </c>
      <c r="S511" s="156"/>
      <c r="T511" s="61"/>
      <c r="U511" s="61">
        <f t="shared" si="532"/>
        <v>0</v>
      </c>
      <c r="V511" s="7" t="str">
        <f t="shared" si="533"/>
        <v>NONE</v>
      </c>
      <c r="W511" s="56"/>
      <c r="X511" s="5"/>
      <c r="Y511" s="61">
        <f t="shared" si="534"/>
        <v>0</v>
      </c>
      <c r="Z511" s="61"/>
      <c r="AA511" s="1">
        <f t="shared" si="535"/>
        <v>0</v>
      </c>
      <c r="AB511" s="1">
        <f t="shared" si="536"/>
        <v>130</v>
      </c>
      <c r="AC511" s="1"/>
      <c r="AD511" s="65">
        <f t="shared" si="537"/>
        <v>-130</v>
      </c>
      <c r="AE511" s="1"/>
      <c r="AF511" s="1">
        <f t="shared" si="538"/>
        <v>0</v>
      </c>
      <c r="AG511" s="1">
        <f>IF(AH511&gt;0,AH362:AH524,0)</f>
        <v>0</v>
      </c>
      <c r="AH511" s="1">
        <f t="shared" si="548"/>
        <v>-130</v>
      </c>
      <c r="AJ511">
        <f>IF(T511=1,P511-U511,0)</f>
        <v>0</v>
      </c>
      <c r="AK511">
        <f>IF(T511=2,P511-U511,0)</f>
        <v>0</v>
      </c>
      <c r="AL511">
        <f>IF(T511=3,P511-U511,0)</f>
        <v>0</v>
      </c>
      <c r="AM511">
        <f>IF(T511=4,P511-U511,0)</f>
        <v>0</v>
      </c>
      <c r="AO511">
        <f>IF(T511=1,P511-U511,0)</f>
        <v>0</v>
      </c>
      <c r="AP511">
        <f>IF(T511=2,P511-U511,0)</f>
        <v>0</v>
      </c>
      <c r="AQ511">
        <f>IF(T511=3,P511-U511,0)</f>
        <v>0</v>
      </c>
      <c r="AR511">
        <f>IF(T511=4,P511-U511,0)</f>
        <v>0</v>
      </c>
    </row>
    <row r="512" spans="1:45" ht="19.149999999999999" customHeight="1" x14ac:dyDescent="0.4">
      <c r="B512" s="83" t="s">
        <v>82</v>
      </c>
      <c r="C512" s="300"/>
      <c r="D512" s="300"/>
      <c r="E512" s="248" t="s">
        <v>42</v>
      </c>
      <c r="F512" s="248"/>
      <c r="G512" s="248"/>
      <c r="H512" s="248" t="s">
        <v>1435</v>
      </c>
      <c r="I512" s="250">
        <v>2</v>
      </c>
      <c r="J512" s="248"/>
      <c r="K512" s="248"/>
      <c r="L512" s="248"/>
      <c r="M512" s="280"/>
      <c r="N512" s="4" t="s">
        <v>36</v>
      </c>
      <c r="P512" s="191">
        <v>0</v>
      </c>
      <c r="Q512" s="165">
        <v>0</v>
      </c>
      <c r="R512">
        <v>0</v>
      </c>
      <c r="S512" s="6"/>
      <c r="T512" s="61"/>
      <c r="U512" s="61">
        <f t="shared" si="532"/>
        <v>0</v>
      </c>
      <c r="V512" s="7" t="str">
        <f t="shared" si="533"/>
        <v>NONE</v>
      </c>
      <c r="W512" s="56"/>
      <c r="X512" s="5"/>
      <c r="Y512" s="61">
        <f t="shared" si="534"/>
        <v>0</v>
      </c>
      <c r="Z512" s="61"/>
      <c r="AA512" s="1">
        <f t="shared" si="535"/>
        <v>0</v>
      </c>
      <c r="AB512" s="1">
        <f t="shared" si="536"/>
        <v>130</v>
      </c>
      <c r="AC512" s="1"/>
      <c r="AD512" s="65">
        <f t="shared" si="537"/>
        <v>-130</v>
      </c>
      <c r="AE512" s="1"/>
      <c r="AF512" s="1">
        <f t="shared" si="538"/>
        <v>0</v>
      </c>
      <c r="AG512" s="1">
        <f>IF(AH512&gt;0,AH361:AH512,0)</f>
        <v>0</v>
      </c>
      <c r="AH512" s="1">
        <f t="shared" si="548"/>
        <v>-130</v>
      </c>
      <c r="AJ512">
        <f>IF(T512=1,P512-U512,0)</f>
        <v>0</v>
      </c>
      <c r="AK512">
        <f>IF(T512=2,P512-U512,0)</f>
        <v>0</v>
      </c>
      <c r="AL512">
        <f>IF(T512=3,P512-U512,0)</f>
        <v>0</v>
      </c>
      <c r="AM512">
        <f>IF(T512=4,P512-U512,0)</f>
        <v>0</v>
      </c>
      <c r="AO512">
        <f>IF(T512=1,P512-U512,0)</f>
        <v>0</v>
      </c>
      <c r="AP512">
        <f>IF(T512=2,P512-U512,0)</f>
        <v>0</v>
      </c>
      <c r="AQ512">
        <f>IF(T512=3,P512-U512,0)</f>
        <v>0</v>
      </c>
      <c r="AR512">
        <f>IF(T512=4,P512-U512,0)</f>
        <v>0</v>
      </c>
    </row>
    <row r="513" spans="2:44" x14ac:dyDescent="0.25">
      <c r="B513" s="94" t="s">
        <v>1436</v>
      </c>
      <c r="C513" s="242" t="s">
        <v>1438</v>
      </c>
      <c r="D513" s="242"/>
      <c r="E513" s="94" t="s">
        <v>370</v>
      </c>
      <c r="F513" s="94"/>
      <c r="G513" s="94"/>
      <c r="H513" s="337" t="s">
        <v>1071</v>
      </c>
      <c r="I513" s="243">
        <v>5</v>
      </c>
      <c r="J513" s="338"/>
      <c r="K513" s="94" t="s">
        <v>1050</v>
      </c>
      <c r="L513" s="248"/>
      <c r="M513" s="278"/>
      <c r="N513" s="4" t="s">
        <v>36</v>
      </c>
      <c r="P513" s="191">
        <v>2495.27</v>
      </c>
      <c r="Q513" s="165">
        <v>0</v>
      </c>
      <c r="R513">
        <v>0</v>
      </c>
      <c r="S513" s="295" t="s">
        <v>1437</v>
      </c>
      <c r="T513" s="61"/>
      <c r="U513" s="61">
        <f t="shared" si="532"/>
        <v>0</v>
      </c>
      <c r="V513" s="7" t="str">
        <f t="shared" ref="V513:V524" si="549">IF(W513=1,$AE$2,IF(W513=2,$AE$1,IF(AND(W513&lt;&gt;1,W513&lt;&gt;20)=TRUE,$AE$3)))</f>
        <v>NONE</v>
      </c>
      <c r="W513" s="56"/>
      <c r="X513" s="5"/>
      <c r="Y513" s="61">
        <f t="shared" si="534"/>
        <v>0</v>
      </c>
      <c r="Z513" s="61"/>
      <c r="AA513" s="1">
        <f t="shared" si="535"/>
        <v>0</v>
      </c>
      <c r="AB513" s="1">
        <f t="shared" ref="AB513:AB524" si="550">IF(I513&gt;0,130,0)</f>
        <v>130</v>
      </c>
      <c r="AC513" s="1"/>
      <c r="AD513" s="65">
        <f t="shared" ref="AD513:AD524" si="551">(P513+U513)-AB513</f>
        <v>2365.27</v>
      </c>
      <c r="AE513" s="1"/>
      <c r="AF513" s="1">
        <f t="shared" ref="AF513:AF524" si="552">IF(I513&gt;0,30*G513,0)</f>
        <v>0</v>
      </c>
      <c r="AG513" s="1">
        <f>IF(AH513&gt;0,AH371:AH513,0)</f>
        <v>2365.27</v>
      </c>
      <c r="AH513" s="1">
        <f t="shared" si="548"/>
        <v>2365.27</v>
      </c>
      <c r="AJ513">
        <f>IF(T513=1,P513-U513,0)</f>
        <v>0</v>
      </c>
      <c r="AK513">
        <f>IF(T513=2,P513-U513,0)</f>
        <v>0</v>
      </c>
      <c r="AL513">
        <f>IF(T513=3,P513-U513,0)</f>
        <v>0</v>
      </c>
      <c r="AM513">
        <f>IF(T513=4,P513-U513,0)</f>
        <v>0</v>
      </c>
      <c r="AO513">
        <f>IF(T513=1,P513-U513,0)</f>
        <v>0</v>
      </c>
      <c r="AP513">
        <f>IF(T513=2,P513-U513,0)</f>
        <v>0</v>
      </c>
      <c r="AQ513">
        <f>IF(T513=3,P513-U513,0)</f>
        <v>0</v>
      </c>
      <c r="AR513">
        <f>IF(T513=4,P513-U513,0)</f>
        <v>0</v>
      </c>
    </row>
    <row r="514" spans="2:44" ht="16.5" x14ac:dyDescent="0.3">
      <c r="B514" s="251" t="s">
        <v>1412</v>
      </c>
      <c r="C514" s="249" t="s">
        <v>929</v>
      </c>
      <c r="D514" s="248"/>
      <c r="E514" s="287" t="s">
        <v>899</v>
      </c>
      <c r="F514" s="248"/>
      <c r="G514" s="248"/>
      <c r="H514" s="248" t="s">
        <v>1407</v>
      </c>
      <c r="I514" s="250">
        <v>14</v>
      </c>
      <c r="J514" s="248"/>
      <c r="K514" s="248" t="s">
        <v>1408</v>
      </c>
      <c r="L514" s="248"/>
      <c r="M514" s="280"/>
      <c r="N514" s="4" t="s">
        <v>36</v>
      </c>
      <c r="P514" s="191">
        <v>4400</v>
      </c>
      <c r="Q514" s="165">
        <v>500</v>
      </c>
      <c r="R514">
        <v>4400</v>
      </c>
      <c r="S514" s="350" t="s">
        <v>1019</v>
      </c>
      <c r="T514" s="350"/>
      <c r="U514" s="61">
        <f t="shared" si="532"/>
        <v>0</v>
      </c>
      <c r="V514" s="7" t="str">
        <f t="shared" si="549"/>
        <v>NONE</v>
      </c>
      <c r="W514" s="56"/>
      <c r="X514" s="5"/>
      <c r="Y514" s="61">
        <f t="shared" si="534"/>
        <v>4900</v>
      </c>
      <c r="Z514" s="61"/>
      <c r="AA514" s="1">
        <f>IF(X514=$AA$1,R514-500, IF(T514="SITE",R514, IF(X514="A/D/F1/500",R514, 0)))</f>
        <v>0</v>
      </c>
      <c r="AB514" s="1">
        <f t="shared" si="550"/>
        <v>130</v>
      </c>
      <c r="AC514" s="1"/>
      <c r="AD514" s="65">
        <f t="shared" si="551"/>
        <v>4270</v>
      </c>
      <c r="AE514" s="1"/>
      <c r="AF514" s="1">
        <f t="shared" si="552"/>
        <v>0</v>
      </c>
      <c r="AG514" s="1">
        <f>IF(AH514&gt;0,AH363:AH514,0)</f>
        <v>4270</v>
      </c>
      <c r="AH514" s="1">
        <f t="shared" si="548"/>
        <v>4270</v>
      </c>
      <c r="AJ514" t="e">
        <f>IF(#REF!=1,P514-U514,0)</f>
        <v>#REF!</v>
      </c>
      <c r="AK514" t="e">
        <f>IF(#REF!=2,P514-U514,0)</f>
        <v>#REF!</v>
      </c>
      <c r="AL514" t="e">
        <f>IF(#REF!=3,P514-U514,0)</f>
        <v>#REF!</v>
      </c>
      <c r="AM514" t="e">
        <f>IF(#REF!=4,P514-U514,0)</f>
        <v>#REF!</v>
      </c>
      <c r="AO514" t="e">
        <f>IF(#REF!=1,P514-U514,0)</f>
        <v>#REF!</v>
      </c>
      <c r="AP514" t="e">
        <f>IF(#REF!=2,P514-U514,0)</f>
        <v>#REF!</v>
      </c>
      <c r="AQ514" t="e">
        <f>IF(#REF!=3,P514-U514,0)</f>
        <v>#REF!</v>
      </c>
      <c r="AR514" t="e">
        <f>IF(#REF!=4,P514-U514,0)</f>
        <v>#REF!</v>
      </c>
    </row>
    <row r="515" spans="2:44" ht="14.1" customHeight="1" x14ac:dyDescent="0.4">
      <c r="B515" s="83" t="s">
        <v>82</v>
      </c>
      <c r="C515" s="300"/>
      <c r="D515" s="300"/>
      <c r="E515" s="248" t="s">
        <v>42</v>
      </c>
      <c r="F515" s="248"/>
      <c r="G515" s="248"/>
      <c r="H515" s="303" t="s">
        <v>1333</v>
      </c>
      <c r="I515" s="250">
        <v>9</v>
      </c>
      <c r="J515" s="248"/>
      <c r="K515" s="248"/>
      <c r="L515" s="248"/>
      <c r="M515" s="280"/>
      <c r="N515" s="4" t="s">
        <v>36</v>
      </c>
      <c r="P515" s="191">
        <v>0</v>
      </c>
      <c r="Q515" s="165">
        <v>0</v>
      </c>
      <c r="R515">
        <v>0</v>
      </c>
      <c r="S515" s="6"/>
      <c r="T515" s="61"/>
      <c r="U515" s="61">
        <f t="shared" si="532"/>
        <v>0</v>
      </c>
      <c r="V515" s="7" t="str">
        <f t="shared" si="549"/>
        <v>NONE</v>
      </c>
      <c r="W515" s="56"/>
      <c r="X515" s="5"/>
      <c r="Y515" s="61">
        <f t="shared" si="534"/>
        <v>0</v>
      </c>
      <c r="Z515" s="61"/>
      <c r="AA515" s="1">
        <f t="shared" si="535"/>
        <v>0</v>
      </c>
      <c r="AB515" s="1">
        <f t="shared" si="550"/>
        <v>130</v>
      </c>
      <c r="AC515" s="1"/>
      <c r="AD515" s="65">
        <f t="shared" si="551"/>
        <v>-130</v>
      </c>
      <c r="AE515" s="1"/>
      <c r="AF515" s="1">
        <f t="shared" si="552"/>
        <v>0</v>
      </c>
      <c r="AG515" s="1">
        <f>IF(AH515&gt;0,AH365:AH535,0)</f>
        <v>0</v>
      </c>
      <c r="AH515" s="1">
        <f t="shared" si="548"/>
        <v>-130</v>
      </c>
      <c r="AJ515">
        <f t="shared" ref="AJ515:AJ524" si="553">IF(T515=1,P515-U515,0)</f>
        <v>0</v>
      </c>
      <c r="AK515">
        <f t="shared" ref="AK515:AK524" si="554">IF(T515=2,P515-U515,0)</f>
        <v>0</v>
      </c>
      <c r="AL515">
        <f t="shared" ref="AL515:AL524" si="555">IF(T515=3,P515-U515,0)</f>
        <v>0</v>
      </c>
      <c r="AM515">
        <f t="shared" ref="AM515:AM524" si="556">IF(T515=4,P515-U515,0)</f>
        <v>0</v>
      </c>
      <c r="AO515">
        <f t="shared" ref="AO515:AO524" si="557">IF(T515=1,P515-U515,0)</f>
        <v>0</v>
      </c>
      <c r="AP515">
        <f t="shared" ref="AP515:AP524" si="558">IF(T515=2,P515-U515,0)</f>
        <v>0</v>
      </c>
      <c r="AQ515">
        <f t="shared" ref="AQ515:AQ524" si="559">IF(T515=3,P515-U515,0)</f>
        <v>0</v>
      </c>
      <c r="AR515">
        <f t="shared" ref="AR515:AR524" si="560">IF(T515=4,P515-U515,0)</f>
        <v>0</v>
      </c>
    </row>
    <row r="516" spans="2:44" x14ac:dyDescent="0.25">
      <c r="B516" s="248" t="s">
        <v>1413</v>
      </c>
      <c r="C516" s="249" t="s">
        <v>847</v>
      </c>
      <c r="D516" s="339"/>
      <c r="E516" s="287" t="s">
        <v>899</v>
      </c>
      <c r="F516" s="248"/>
      <c r="G516" s="248"/>
      <c r="H516" s="248" t="s">
        <v>1414</v>
      </c>
      <c r="I516" s="250">
        <v>17</v>
      </c>
      <c r="J516" s="248"/>
      <c r="K516" s="248" t="s">
        <v>1095</v>
      </c>
      <c r="L516" s="248"/>
      <c r="M516" s="280"/>
      <c r="N516" s="4" t="s">
        <v>36</v>
      </c>
      <c r="P516" s="191">
        <f>5316.19+500</f>
        <v>5816.19</v>
      </c>
      <c r="Q516" s="165">
        <f>5316.19/2</f>
        <v>2658.0949999999998</v>
      </c>
      <c r="R516" s="176">
        <f>P516-Q516-0.001</f>
        <v>3158.0939999999996</v>
      </c>
      <c r="S516" s="331" t="s">
        <v>1480</v>
      </c>
      <c r="T516" s="61"/>
      <c r="U516" s="61">
        <f t="shared" si="532"/>
        <v>0</v>
      </c>
      <c r="V516" s="7" t="str">
        <f t="shared" si="549"/>
        <v>NONE</v>
      </c>
      <c r="W516" s="56"/>
      <c r="X516" s="5"/>
      <c r="Y516" s="61">
        <f t="shared" si="534"/>
        <v>5816.1889999999994</v>
      </c>
      <c r="Z516" s="61"/>
      <c r="AA516" s="1">
        <f t="shared" si="535"/>
        <v>0</v>
      </c>
      <c r="AB516" s="1">
        <f t="shared" si="550"/>
        <v>130</v>
      </c>
      <c r="AC516" s="1"/>
      <c r="AD516" s="65">
        <f t="shared" si="551"/>
        <v>5686.19</v>
      </c>
      <c r="AE516" s="1"/>
      <c r="AF516" s="1">
        <f t="shared" si="552"/>
        <v>0</v>
      </c>
      <c r="AG516" s="1">
        <f>IF(AH516&gt;0,AH366:AH516,0)</f>
        <v>5686.19</v>
      </c>
      <c r="AH516" s="1">
        <f t="shared" si="548"/>
        <v>5686.19</v>
      </c>
      <c r="AJ516">
        <f t="shared" si="553"/>
        <v>0</v>
      </c>
      <c r="AK516">
        <f t="shared" si="554"/>
        <v>0</v>
      </c>
      <c r="AL516">
        <f t="shared" si="555"/>
        <v>0</v>
      </c>
      <c r="AM516">
        <f t="shared" si="556"/>
        <v>0</v>
      </c>
      <c r="AO516">
        <f t="shared" si="557"/>
        <v>0</v>
      </c>
      <c r="AP516">
        <f t="shared" si="558"/>
        <v>0</v>
      </c>
      <c r="AQ516">
        <f t="shared" si="559"/>
        <v>0</v>
      </c>
      <c r="AR516">
        <f t="shared" si="560"/>
        <v>0</v>
      </c>
    </row>
    <row r="517" spans="2:44" x14ac:dyDescent="0.25">
      <c r="B517" s="248" t="s">
        <v>1475</v>
      </c>
      <c r="C517" s="248" t="s">
        <v>1259</v>
      </c>
      <c r="D517" s="248"/>
      <c r="E517" s="287" t="s">
        <v>899</v>
      </c>
      <c r="F517" s="248"/>
      <c r="G517" s="248"/>
      <c r="H517" s="248" t="s">
        <v>1473</v>
      </c>
      <c r="I517" s="250"/>
      <c r="J517" s="248"/>
      <c r="K517" s="248" t="s">
        <v>777</v>
      </c>
      <c r="L517" s="248"/>
      <c r="M517" s="280"/>
      <c r="N517" s="4" t="s">
        <v>36</v>
      </c>
      <c r="P517" s="191">
        <f>(5052-250)-500</f>
        <v>4302</v>
      </c>
      <c r="Q517" s="165">
        <v>500</v>
      </c>
      <c r="R517">
        <v>0</v>
      </c>
      <c r="S517" s="351" t="s">
        <v>1474</v>
      </c>
      <c r="T517" s="61"/>
      <c r="U517" s="61">
        <f t="shared" si="532"/>
        <v>0</v>
      </c>
      <c r="V517" s="7" t="str">
        <f t="shared" si="549"/>
        <v>NONE</v>
      </c>
      <c r="W517" s="56"/>
      <c r="X517" s="5"/>
      <c r="Y517" s="61">
        <f>R517+Q517</f>
        <v>500</v>
      </c>
      <c r="Z517" s="61"/>
      <c r="AA517" s="1">
        <f>IF(X517=$AA$1,R517-500, IF(S517="SITE",R517, IF(X517="A/D/F1/500",R517, 0)))</f>
        <v>0</v>
      </c>
      <c r="AB517" s="1">
        <f t="shared" si="550"/>
        <v>0</v>
      </c>
      <c r="AC517" s="1"/>
      <c r="AD517" s="65">
        <f t="shared" si="551"/>
        <v>4302</v>
      </c>
      <c r="AE517" s="1"/>
      <c r="AF517" s="1">
        <f t="shared" si="552"/>
        <v>0</v>
      </c>
      <c r="AG517" s="1">
        <f>IF(AH517&gt;0,AH365:AH534,0)</f>
        <v>4302</v>
      </c>
      <c r="AH517" s="1">
        <f t="shared" si="548"/>
        <v>4302</v>
      </c>
      <c r="AJ517">
        <f t="shared" si="553"/>
        <v>0</v>
      </c>
      <c r="AK517">
        <f t="shared" si="554"/>
        <v>0</v>
      </c>
      <c r="AL517">
        <f t="shared" si="555"/>
        <v>0</v>
      </c>
      <c r="AM517">
        <f t="shared" si="556"/>
        <v>0</v>
      </c>
      <c r="AO517">
        <f t="shared" si="557"/>
        <v>0</v>
      </c>
      <c r="AP517">
        <f t="shared" si="558"/>
        <v>0</v>
      </c>
      <c r="AQ517">
        <f t="shared" si="559"/>
        <v>0</v>
      </c>
      <c r="AR517">
        <f t="shared" si="560"/>
        <v>0</v>
      </c>
    </row>
    <row r="518" spans="2:44" x14ac:dyDescent="0.25">
      <c r="B518" s="241" t="s">
        <v>1468</v>
      </c>
      <c r="C518" s="94" t="s">
        <v>1469</v>
      </c>
      <c r="D518" s="94"/>
      <c r="E518" s="94" t="s">
        <v>370</v>
      </c>
      <c r="F518" s="94"/>
      <c r="G518" s="94"/>
      <c r="H518" s="337" t="s">
        <v>1467</v>
      </c>
      <c r="I518" s="243"/>
      <c r="J518" s="338"/>
      <c r="K518" s="94" t="s">
        <v>1470</v>
      </c>
      <c r="L518" s="248"/>
      <c r="M518" s="330"/>
      <c r="N518" s="4" t="s">
        <v>36</v>
      </c>
      <c r="P518" s="191">
        <v>2078.54</v>
      </c>
      <c r="Q518" s="165">
        <v>2078.54</v>
      </c>
      <c r="R518">
        <v>0</v>
      </c>
      <c r="S518" s="198" t="s">
        <v>1471</v>
      </c>
      <c r="T518" s="61"/>
      <c r="U518" s="61">
        <f t="shared" ref="U518:U524" si="561">IF(V518=$AE$2,47,IF(V518=$AE$1,ROUND(((P518+500)*0.039),0),IF(V518=$AE$3,0)))</f>
        <v>0</v>
      </c>
      <c r="V518" s="7" t="str">
        <f t="shared" si="549"/>
        <v>NONE</v>
      </c>
      <c r="W518" s="56"/>
      <c r="X518" s="5"/>
      <c r="Y518" s="61">
        <f t="shared" si="534"/>
        <v>2078.54</v>
      </c>
      <c r="Z518" s="61"/>
      <c r="AA518" s="1">
        <f t="shared" si="535"/>
        <v>0</v>
      </c>
      <c r="AB518" s="1">
        <f t="shared" si="550"/>
        <v>0</v>
      </c>
      <c r="AC518" s="1"/>
      <c r="AD518" s="65">
        <f t="shared" si="551"/>
        <v>2078.54</v>
      </c>
      <c r="AE518" s="1"/>
      <c r="AF518" s="1">
        <f t="shared" si="552"/>
        <v>0</v>
      </c>
      <c r="AG518" s="1">
        <f>IF(AH518&gt;0,AH372:AH518,0)</f>
        <v>2078.54</v>
      </c>
      <c r="AH518" s="1">
        <f t="shared" si="548"/>
        <v>2078.54</v>
      </c>
      <c r="AJ518">
        <f t="shared" si="553"/>
        <v>0</v>
      </c>
      <c r="AK518">
        <f t="shared" si="554"/>
        <v>0</v>
      </c>
      <c r="AL518">
        <f t="shared" si="555"/>
        <v>0</v>
      </c>
      <c r="AM518">
        <f t="shared" si="556"/>
        <v>0</v>
      </c>
      <c r="AO518">
        <f t="shared" si="557"/>
        <v>0</v>
      </c>
      <c r="AP518">
        <f t="shared" si="558"/>
        <v>0</v>
      </c>
      <c r="AQ518">
        <f t="shared" si="559"/>
        <v>0</v>
      </c>
      <c r="AR518">
        <f t="shared" si="560"/>
        <v>0</v>
      </c>
    </row>
    <row r="519" spans="2:44" x14ac:dyDescent="0.25">
      <c r="B519" s="83" t="s">
        <v>82</v>
      </c>
      <c r="C519" s="248"/>
      <c r="D519" s="249"/>
      <c r="E519" s="248"/>
      <c r="F519" s="248"/>
      <c r="G519" s="248"/>
      <c r="H519" s="253" t="s">
        <v>1397</v>
      </c>
      <c r="I519" s="250">
        <v>3</v>
      </c>
      <c r="J519" s="248"/>
      <c r="K519" s="248"/>
      <c r="L519" s="248"/>
      <c r="M519" s="301"/>
      <c r="N519" s="4" t="s">
        <v>36</v>
      </c>
      <c r="P519" s="191">
        <v>0</v>
      </c>
      <c r="Q519" s="165">
        <v>0</v>
      </c>
      <c r="R519">
        <v>0</v>
      </c>
      <c r="S519" s="6"/>
      <c r="T519" s="61"/>
      <c r="U519" s="61">
        <f t="shared" si="561"/>
        <v>0</v>
      </c>
      <c r="V519" s="7" t="str">
        <f t="shared" si="549"/>
        <v>NONE</v>
      </c>
      <c r="W519" s="56"/>
      <c r="X519" s="5"/>
      <c r="Y519" s="61">
        <f t="shared" si="534"/>
        <v>0</v>
      </c>
      <c r="Z519" s="61"/>
      <c r="AA519" s="1">
        <f t="shared" si="535"/>
        <v>0</v>
      </c>
      <c r="AB519" s="1">
        <f t="shared" si="550"/>
        <v>130</v>
      </c>
      <c r="AC519" s="1"/>
      <c r="AD519" s="65">
        <f t="shared" si="551"/>
        <v>-130</v>
      </c>
      <c r="AE519" s="1"/>
      <c r="AF519" s="1">
        <f t="shared" si="552"/>
        <v>0</v>
      </c>
      <c r="AG519" s="1">
        <f>IF(AH519&gt;0,AH368:AH519,0)</f>
        <v>0</v>
      </c>
      <c r="AH519" s="1">
        <f t="shared" si="548"/>
        <v>-130</v>
      </c>
      <c r="AJ519">
        <f t="shared" si="553"/>
        <v>0</v>
      </c>
      <c r="AK519">
        <f t="shared" si="554"/>
        <v>0</v>
      </c>
      <c r="AL519">
        <f t="shared" si="555"/>
        <v>0</v>
      </c>
      <c r="AM519">
        <f t="shared" si="556"/>
        <v>0</v>
      </c>
      <c r="AO519">
        <f t="shared" si="557"/>
        <v>0</v>
      </c>
      <c r="AP519">
        <f t="shared" si="558"/>
        <v>0</v>
      </c>
      <c r="AQ519">
        <f t="shared" si="559"/>
        <v>0</v>
      </c>
      <c r="AR519">
        <f t="shared" si="560"/>
        <v>0</v>
      </c>
    </row>
    <row r="520" spans="2:44" x14ac:dyDescent="0.25">
      <c r="B520" s="248"/>
      <c r="C520" s="248"/>
      <c r="D520" s="248"/>
      <c r="E520" s="248"/>
      <c r="F520" s="248"/>
      <c r="G520" s="248"/>
      <c r="H520" s="248"/>
      <c r="I520" s="250"/>
      <c r="J520" s="248"/>
      <c r="K520" s="248"/>
      <c r="L520" s="248"/>
      <c r="M520" s="280"/>
      <c r="N520" s="4" t="s">
        <v>36</v>
      </c>
      <c r="P520" s="191">
        <v>0</v>
      </c>
      <c r="Q520" s="165">
        <v>0</v>
      </c>
      <c r="R520">
        <v>0</v>
      </c>
      <c r="S520" s="6"/>
      <c r="T520" s="61"/>
      <c r="U520" s="61">
        <f t="shared" si="561"/>
        <v>0</v>
      </c>
      <c r="V520" s="7" t="str">
        <f t="shared" si="549"/>
        <v>NONE</v>
      </c>
      <c r="W520" s="56"/>
      <c r="X520" s="5"/>
      <c r="Y520" s="61">
        <f t="shared" si="534"/>
        <v>0</v>
      </c>
      <c r="Z520" s="61"/>
      <c r="AA520" s="1">
        <f t="shared" si="535"/>
        <v>0</v>
      </c>
      <c r="AB520" s="1">
        <f t="shared" si="550"/>
        <v>0</v>
      </c>
      <c r="AC520" s="1"/>
      <c r="AD520" s="65">
        <f t="shared" si="551"/>
        <v>0</v>
      </c>
      <c r="AE520" s="1"/>
      <c r="AF520" s="1">
        <f t="shared" si="552"/>
        <v>0</v>
      </c>
      <c r="AG520" s="1">
        <f>IF(AH520&gt;0,AH368:AH537,0)</f>
        <v>0</v>
      </c>
      <c r="AH520" s="1">
        <f t="shared" si="548"/>
        <v>0</v>
      </c>
      <c r="AJ520">
        <f t="shared" si="553"/>
        <v>0</v>
      </c>
      <c r="AK520">
        <f t="shared" si="554"/>
        <v>0</v>
      </c>
      <c r="AL520">
        <f t="shared" si="555"/>
        <v>0</v>
      </c>
      <c r="AM520">
        <f t="shared" si="556"/>
        <v>0</v>
      </c>
      <c r="AO520">
        <f t="shared" si="557"/>
        <v>0</v>
      </c>
      <c r="AP520">
        <f t="shared" si="558"/>
        <v>0</v>
      </c>
      <c r="AQ520">
        <f t="shared" si="559"/>
        <v>0</v>
      </c>
      <c r="AR520">
        <f t="shared" si="560"/>
        <v>0</v>
      </c>
    </row>
    <row r="521" spans="2:44" x14ac:dyDescent="0.25">
      <c r="B521" s="253"/>
      <c r="C521" s="253"/>
      <c r="D521" s="253"/>
      <c r="E521" s="248"/>
      <c r="F521" s="248"/>
      <c r="G521" s="248"/>
      <c r="H521" s="252"/>
      <c r="I521" s="250"/>
      <c r="J521" s="248"/>
      <c r="K521" s="248"/>
      <c r="L521" s="248"/>
      <c r="M521" s="280"/>
      <c r="N521" s="4" t="s">
        <v>36</v>
      </c>
      <c r="P521" s="191">
        <v>0</v>
      </c>
      <c r="Q521" s="165">
        <v>0</v>
      </c>
      <c r="R521">
        <v>0</v>
      </c>
      <c r="S521" s="6"/>
      <c r="T521" s="61"/>
      <c r="U521" s="61">
        <f t="shared" si="561"/>
        <v>0</v>
      </c>
      <c r="V521" s="7" t="str">
        <f t="shared" si="549"/>
        <v>NONE</v>
      </c>
      <c r="W521" s="56"/>
      <c r="X521" s="5"/>
      <c r="Y521" s="61">
        <f t="shared" si="534"/>
        <v>0</v>
      </c>
      <c r="Z521" s="61"/>
      <c r="AA521" s="1">
        <f t="shared" si="535"/>
        <v>0</v>
      </c>
      <c r="AB521" s="1">
        <f t="shared" si="550"/>
        <v>0</v>
      </c>
      <c r="AC521" s="1"/>
      <c r="AD521" s="65">
        <f t="shared" si="551"/>
        <v>0</v>
      </c>
      <c r="AE521" s="1"/>
      <c r="AF521" s="1">
        <f t="shared" si="552"/>
        <v>0</v>
      </c>
      <c r="AG521" s="1">
        <f>IF(AH521&gt;0,AH365:AH521,0)</f>
        <v>0</v>
      </c>
      <c r="AH521" s="1">
        <f t="shared" si="548"/>
        <v>0</v>
      </c>
      <c r="AJ521">
        <f t="shared" si="553"/>
        <v>0</v>
      </c>
      <c r="AK521">
        <f t="shared" si="554"/>
        <v>0</v>
      </c>
      <c r="AL521">
        <f t="shared" si="555"/>
        <v>0</v>
      </c>
      <c r="AM521">
        <f t="shared" si="556"/>
        <v>0</v>
      </c>
      <c r="AO521">
        <f t="shared" si="557"/>
        <v>0</v>
      </c>
      <c r="AP521">
        <f t="shared" si="558"/>
        <v>0</v>
      </c>
      <c r="AQ521">
        <f t="shared" si="559"/>
        <v>0</v>
      </c>
      <c r="AR521">
        <f t="shared" si="560"/>
        <v>0</v>
      </c>
    </row>
    <row r="522" spans="2:44" x14ac:dyDescent="0.25">
      <c r="B522" s="83" t="s">
        <v>82</v>
      </c>
      <c r="C522" s="305"/>
      <c r="D522" s="306"/>
      <c r="E522" s="248" t="s">
        <v>42</v>
      </c>
      <c r="F522" s="248"/>
      <c r="G522" s="248"/>
      <c r="H522" s="250" t="s">
        <v>1398</v>
      </c>
      <c r="I522" s="250">
        <v>18</v>
      </c>
      <c r="J522" s="248"/>
      <c r="K522" s="248"/>
      <c r="L522" s="248"/>
      <c r="M522" s="280"/>
      <c r="N522" s="4" t="s">
        <v>394</v>
      </c>
      <c r="P522" s="191">
        <v>0</v>
      </c>
      <c r="Q522" s="165">
        <v>0</v>
      </c>
      <c r="R522">
        <v>0</v>
      </c>
      <c r="S522" s="6"/>
      <c r="T522" s="61"/>
      <c r="U522" s="61">
        <f t="shared" si="561"/>
        <v>0</v>
      </c>
      <c r="V522" s="7" t="str">
        <f t="shared" si="549"/>
        <v>NONE</v>
      </c>
      <c r="W522" s="56"/>
      <c r="X522" s="87"/>
      <c r="Y522" s="61">
        <f t="shared" si="534"/>
        <v>0</v>
      </c>
      <c r="Z522" s="61"/>
      <c r="AA522" s="1">
        <f t="shared" si="535"/>
        <v>0</v>
      </c>
      <c r="AB522" s="1">
        <f t="shared" si="550"/>
        <v>130</v>
      </c>
      <c r="AC522" s="1"/>
      <c r="AD522" s="65">
        <f t="shared" si="551"/>
        <v>-130</v>
      </c>
      <c r="AE522" s="1"/>
      <c r="AF522" s="1">
        <f t="shared" si="552"/>
        <v>0</v>
      </c>
      <c r="AG522" s="1">
        <f>IF(AH522&gt;0,AH365:AH533,0)</f>
        <v>0</v>
      </c>
      <c r="AH522" s="1">
        <f t="shared" si="548"/>
        <v>-130</v>
      </c>
      <c r="AJ522">
        <f t="shared" si="553"/>
        <v>0</v>
      </c>
      <c r="AK522">
        <f t="shared" si="554"/>
        <v>0</v>
      </c>
      <c r="AL522">
        <f t="shared" si="555"/>
        <v>0</v>
      </c>
      <c r="AM522">
        <f t="shared" si="556"/>
        <v>0</v>
      </c>
      <c r="AO522">
        <f t="shared" si="557"/>
        <v>0</v>
      </c>
      <c r="AP522">
        <f t="shared" si="558"/>
        <v>0</v>
      </c>
      <c r="AQ522">
        <f t="shared" si="559"/>
        <v>0</v>
      </c>
      <c r="AR522">
        <f t="shared" si="560"/>
        <v>0</v>
      </c>
    </row>
    <row r="523" spans="2:44" x14ac:dyDescent="0.25">
      <c r="B523" s="248" t="s">
        <v>1486</v>
      </c>
      <c r="C523" s="253"/>
      <c r="D523" s="253"/>
      <c r="E523" s="248" t="s">
        <v>42</v>
      </c>
      <c r="F523" s="248"/>
      <c r="G523" s="248"/>
      <c r="H523" s="248" t="s">
        <v>1485</v>
      </c>
      <c r="I523" s="250">
        <v>7</v>
      </c>
      <c r="J523" s="248"/>
      <c r="K523" s="248" t="s">
        <v>985</v>
      </c>
      <c r="L523" s="248"/>
      <c r="M523" s="280"/>
      <c r="N523" s="4" t="s">
        <v>36</v>
      </c>
      <c r="P523" s="191">
        <v>0</v>
      </c>
      <c r="Q523" s="165">
        <v>0</v>
      </c>
      <c r="R523">
        <v>0</v>
      </c>
      <c r="S523" s="6"/>
      <c r="T523" s="61"/>
      <c r="U523" s="61">
        <f t="shared" si="561"/>
        <v>0</v>
      </c>
      <c r="V523" s="7" t="str">
        <f t="shared" si="549"/>
        <v>NONE</v>
      </c>
      <c r="W523" s="56"/>
      <c r="X523" s="5"/>
      <c r="Y523" s="61">
        <f t="shared" si="534"/>
        <v>0</v>
      </c>
      <c r="Z523" s="61"/>
      <c r="AA523" s="1">
        <f t="shared" si="535"/>
        <v>0</v>
      </c>
      <c r="AB523" s="1">
        <f t="shared" si="550"/>
        <v>130</v>
      </c>
      <c r="AC523" s="1"/>
      <c r="AD523" s="65">
        <f t="shared" si="551"/>
        <v>-130</v>
      </c>
      <c r="AE523" s="1"/>
      <c r="AF523" s="1">
        <f t="shared" si="552"/>
        <v>0</v>
      </c>
      <c r="AG523" s="1">
        <f>IF(AH523&gt;0,AH368:AH523,0)</f>
        <v>0</v>
      </c>
      <c r="AH523" s="1">
        <f t="shared" si="548"/>
        <v>-130</v>
      </c>
      <c r="AJ523">
        <f t="shared" si="553"/>
        <v>0</v>
      </c>
      <c r="AK523">
        <f t="shared" si="554"/>
        <v>0</v>
      </c>
      <c r="AL523">
        <f t="shared" si="555"/>
        <v>0</v>
      </c>
      <c r="AM523">
        <f t="shared" si="556"/>
        <v>0</v>
      </c>
      <c r="AO523">
        <f t="shared" si="557"/>
        <v>0</v>
      </c>
      <c r="AP523">
        <f t="shared" si="558"/>
        <v>0</v>
      </c>
      <c r="AQ523">
        <f t="shared" si="559"/>
        <v>0</v>
      </c>
      <c r="AR523">
        <f t="shared" si="560"/>
        <v>0</v>
      </c>
    </row>
    <row r="524" spans="2:44" x14ac:dyDescent="0.25">
      <c r="B524" s="83" t="s">
        <v>82</v>
      </c>
      <c r="C524" s="307"/>
      <c r="D524" s="307"/>
      <c r="E524" s="248" t="s">
        <v>42</v>
      </c>
      <c r="F524" s="248"/>
      <c r="G524" s="248"/>
      <c r="H524" s="248" t="s">
        <v>1400</v>
      </c>
      <c r="I524" s="250">
        <v>7</v>
      </c>
      <c r="J524" s="248"/>
      <c r="K524" s="248"/>
      <c r="L524" s="248"/>
      <c r="M524" s="278"/>
      <c r="N524" s="4" t="s">
        <v>36</v>
      </c>
      <c r="P524" s="191">
        <v>0</v>
      </c>
      <c r="Q524" s="165">
        <v>0</v>
      </c>
      <c r="R524">
        <v>0</v>
      </c>
      <c r="S524" s="6"/>
      <c r="T524" s="61"/>
      <c r="U524" s="61">
        <f t="shared" si="561"/>
        <v>0</v>
      </c>
      <c r="V524" s="7" t="str">
        <f t="shared" si="549"/>
        <v>NONE</v>
      </c>
      <c r="W524" s="56"/>
      <c r="X524" s="5"/>
      <c r="Y524" s="61">
        <f t="shared" si="534"/>
        <v>0</v>
      </c>
      <c r="Z524" s="61"/>
      <c r="AA524" s="1">
        <f t="shared" si="535"/>
        <v>0</v>
      </c>
      <c r="AB524" s="1">
        <f t="shared" si="550"/>
        <v>130</v>
      </c>
      <c r="AC524" s="1"/>
      <c r="AD524" s="65">
        <f t="shared" si="551"/>
        <v>-130</v>
      </c>
      <c r="AE524" s="1"/>
      <c r="AF524" s="1">
        <f t="shared" si="552"/>
        <v>0</v>
      </c>
      <c r="AG524" s="1">
        <f>IF(AH524&gt;0,AH370:AH524,0)</f>
        <v>0</v>
      </c>
      <c r="AH524" s="1">
        <f t="shared" si="548"/>
        <v>-130</v>
      </c>
      <c r="AJ524">
        <f t="shared" si="553"/>
        <v>0</v>
      </c>
      <c r="AK524">
        <f t="shared" si="554"/>
        <v>0</v>
      </c>
      <c r="AL524">
        <f t="shared" si="555"/>
        <v>0</v>
      </c>
      <c r="AM524">
        <f t="shared" si="556"/>
        <v>0</v>
      </c>
      <c r="AO524">
        <f t="shared" si="557"/>
        <v>0</v>
      </c>
      <c r="AP524">
        <f t="shared" si="558"/>
        <v>0</v>
      </c>
      <c r="AQ524">
        <f t="shared" si="559"/>
        <v>0</v>
      </c>
      <c r="AR524">
        <f t="shared" si="560"/>
        <v>0</v>
      </c>
    </row>
    <row r="525" spans="2:44" x14ac:dyDescent="0.25">
      <c r="B525" s="253"/>
      <c r="C525" s="253"/>
      <c r="D525" s="253"/>
      <c r="E525" s="248"/>
      <c r="F525" s="248"/>
      <c r="G525" s="248"/>
      <c r="H525" s="248"/>
      <c r="I525" s="250"/>
      <c r="J525" s="248"/>
      <c r="K525" s="248"/>
      <c r="L525" s="248"/>
      <c r="M525" s="280"/>
      <c r="N525" s="4" t="s">
        <v>36</v>
      </c>
      <c r="P525" s="191">
        <v>0</v>
      </c>
      <c r="Q525" s="165">
        <v>0</v>
      </c>
      <c r="R525">
        <v>0</v>
      </c>
      <c r="S525" s="6"/>
      <c r="T525" s="61"/>
      <c r="U525" s="61">
        <f t="shared" ref="U525:U544" si="562">IF(V525=$AE$2,47,IF(V525=$AE$1,ROUND(((P525+500)*0.039),0),IF(V525=$AE$3,0)))</f>
        <v>0</v>
      </c>
      <c r="V525" s="7" t="str">
        <f t="shared" ref="V525:V544" si="563">IF(W525=1,$AE$2,IF(W525=2,$AE$1,IF(AND(W525&lt;&gt;1,W525&lt;&gt;20)=TRUE,$AE$3)))</f>
        <v>NONE</v>
      </c>
      <c r="W525" s="56"/>
      <c r="X525" s="5"/>
      <c r="Y525" s="61">
        <f t="shared" si="534"/>
        <v>0</v>
      </c>
      <c r="Z525" s="61"/>
      <c r="AA525" s="1">
        <f t="shared" si="535"/>
        <v>0</v>
      </c>
      <c r="AB525" s="1">
        <f t="shared" ref="AB525:AB544" si="564">IF(I525&gt;0,130,0)</f>
        <v>0</v>
      </c>
      <c r="AC525" s="1"/>
      <c r="AD525" s="65">
        <f t="shared" ref="AD525:AD544" si="565">(P525+U525)-AB525</f>
        <v>0</v>
      </c>
      <c r="AE525" s="1"/>
      <c r="AF525" s="1">
        <f t="shared" ref="AF525:AF544" si="566">IF(I525&gt;0,30*G525,0)</f>
        <v>0</v>
      </c>
      <c r="AG525" s="1">
        <f>IF(AH525&gt;0,AH370:AH525,0)</f>
        <v>0</v>
      </c>
      <c r="AH525" s="1">
        <f t="shared" ref="AH525:AH544" si="567">AD525-AF525</f>
        <v>0</v>
      </c>
      <c r="AJ525">
        <f t="shared" ref="AJ525:AJ544" si="568">IF(T525=1,P525-U525,0)</f>
        <v>0</v>
      </c>
      <c r="AK525">
        <f t="shared" ref="AK525:AK544" si="569">IF(T525=2,P525-U525,0)</f>
        <v>0</v>
      </c>
      <c r="AL525">
        <f t="shared" ref="AL525:AL544" si="570">IF(T525=3,P525-U525,0)</f>
        <v>0</v>
      </c>
      <c r="AM525">
        <f t="shared" ref="AM525:AM544" si="571">IF(T525=4,P525-U525,0)</f>
        <v>0</v>
      </c>
      <c r="AO525">
        <f t="shared" ref="AO525:AO544" si="572">IF(T525=1,P525-U525,0)</f>
        <v>0</v>
      </c>
      <c r="AP525">
        <f t="shared" ref="AP525:AP544" si="573">IF(T525=2,P525-U525,0)</f>
        <v>0</v>
      </c>
      <c r="AQ525">
        <f t="shared" ref="AQ525:AQ544" si="574">IF(T525=3,P525-U525,0)</f>
        <v>0</v>
      </c>
      <c r="AR525">
        <f t="shared" ref="AR525:AR544" si="575">IF(T525=4,P525-U525,0)</f>
        <v>0</v>
      </c>
    </row>
    <row r="526" spans="2:44" x14ac:dyDescent="0.25">
      <c r="B526" s="83" t="s">
        <v>82</v>
      </c>
      <c r="C526" s="253"/>
      <c r="D526" s="253"/>
      <c r="E526" s="248"/>
      <c r="F526" s="248"/>
      <c r="G526" s="248"/>
      <c r="H526" s="250" t="s">
        <v>1399</v>
      </c>
      <c r="I526" s="250">
        <v>4</v>
      </c>
      <c r="J526" s="248"/>
      <c r="K526" s="248"/>
      <c r="L526" s="248"/>
      <c r="M526" s="278"/>
      <c r="N526" s="4" t="s">
        <v>36</v>
      </c>
      <c r="P526" s="191">
        <v>0</v>
      </c>
      <c r="Q526" s="165">
        <v>0</v>
      </c>
      <c r="R526">
        <v>0</v>
      </c>
      <c r="S526" s="6"/>
      <c r="T526" s="61"/>
      <c r="U526" s="61">
        <f t="shared" si="562"/>
        <v>0</v>
      </c>
      <c r="V526" s="7" t="str">
        <f t="shared" si="563"/>
        <v>NONE</v>
      </c>
      <c r="W526" s="56"/>
      <c r="X526" s="5"/>
      <c r="Y526" s="61">
        <f t="shared" si="534"/>
        <v>0</v>
      </c>
      <c r="Z526" s="61"/>
      <c r="AA526" s="1">
        <f t="shared" si="535"/>
        <v>0</v>
      </c>
      <c r="AB526" s="1">
        <f t="shared" si="564"/>
        <v>130</v>
      </c>
      <c r="AC526" s="1"/>
      <c r="AD526" s="65">
        <f t="shared" si="565"/>
        <v>-130</v>
      </c>
      <c r="AE526" s="1"/>
      <c r="AF526" s="1">
        <f t="shared" si="566"/>
        <v>0</v>
      </c>
      <c r="AG526" s="1">
        <f>IF(AH526&gt;0,AH372:AH526,0)</f>
        <v>0</v>
      </c>
      <c r="AH526" s="1">
        <f t="shared" si="567"/>
        <v>-130</v>
      </c>
      <c r="AJ526">
        <f t="shared" si="568"/>
        <v>0</v>
      </c>
      <c r="AK526">
        <f t="shared" si="569"/>
        <v>0</v>
      </c>
      <c r="AL526">
        <f t="shared" si="570"/>
        <v>0</v>
      </c>
      <c r="AM526">
        <f t="shared" si="571"/>
        <v>0</v>
      </c>
      <c r="AO526">
        <f t="shared" si="572"/>
        <v>0</v>
      </c>
      <c r="AP526">
        <f t="shared" si="573"/>
        <v>0</v>
      </c>
      <c r="AQ526">
        <f t="shared" si="574"/>
        <v>0</v>
      </c>
      <c r="AR526">
        <f t="shared" si="575"/>
        <v>0</v>
      </c>
    </row>
    <row r="527" spans="2:44" ht="15.75" customHeight="1" x14ac:dyDescent="0.25">
      <c r="B527" s="184" t="s">
        <v>1455</v>
      </c>
      <c r="C527" s="8" t="s">
        <v>1453</v>
      </c>
      <c r="D527" s="8"/>
      <c r="F527">
        <f>IF(E527=$B$12,I527,0)</f>
        <v>0</v>
      </c>
      <c r="G527">
        <f>IF(F527&gt;0,0,1)</f>
        <v>1</v>
      </c>
      <c r="H527" s="248" t="s">
        <v>1454</v>
      </c>
      <c r="I527" s="121">
        <v>17</v>
      </c>
      <c r="N527" s="4" t="s">
        <v>36</v>
      </c>
      <c r="P527" s="191">
        <v>0</v>
      </c>
      <c r="Q527" s="165">
        <v>0</v>
      </c>
      <c r="R527">
        <v>0</v>
      </c>
      <c r="S527" s="6"/>
      <c r="T527" s="61"/>
      <c r="U527" s="61">
        <f t="shared" si="562"/>
        <v>0</v>
      </c>
      <c r="V527" s="7" t="str">
        <f t="shared" si="563"/>
        <v>NONE</v>
      </c>
      <c r="W527" s="56"/>
      <c r="X527" s="5"/>
      <c r="Y527" s="61">
        <f t="shared" si="534"/>
        <v>0</v>
      </c>
      <c r="Z527" s="61"/>
      <c r="AA527" s="1">
        <f t="shared" si="535"/>
        <v>0</v>
      </c>
      <c r="AB527" s="1">
        <f t="shared" si="564"/>
        <v>130</v>
      </c>
      <c r="AC527" s="1"/>
      <c r="AD527" s="65">
        <f t="shared" si="565"/>
        <v>-130</v>
      </c>
      <c r="AE527" s="1"/>
      <c r="AF527" s="1">
        <f t="shared" si="566"/>
        <v>30</v>
      </c>
      <c r="AG527" s="1">
        <f>IF(AH527&gt;0,AH368:AH527,0)</f>
        <v>0</v>
      </c>
      <c r="AH527" s="1">
        <f t="shared" si="567"/>
        <v>-160</v>
      </c>
      <c r="AJ527">
        <f t="shared" si="568"/>
        <v>0</v>
      </c>
      <c r="AK527">
        <f t="shared" si="569"/>
        <v>0</v>
      </c>
      <c r="AL527">
        <f t="shared" si="570"/>
        <v>0</v>
      </c>
      <c r="AM527">
        <f t="shared" si="571"/>
        <v>0</v>
      </c>
      <c r="AO527">
        <f t="shared" si="572"/>
        <v>0</v>
      </c>
      <c r="AP527">
        <f t="shared" si="573"/>
        <v>0</v>
      </c>
      <c r="AQ527">
        <f t="shared" si="574"/>
        <v>0</v>
      </c>
      <c r="AR527">
        <f t="shared" si="575"/>
        <v>0</v>
      </c>
    </row>
    <row r="528" spans="2:44" x14ac:dyDescent="0.25">
      <c r="B528" s="83" t="s">
        <v>82</v>
      </c>
      <c r="F528">
        <f>IF(E528=$B$12,I528,0)</f>
        <v>0</v>
      </c>
      <c r="G528">
        <f>IF(F528&gt;0,0,1)</f>
        <v>1</v>
      </c>
      <c r="H528" t="s">
        <v>1431</v>
      </c>
      <c r="I528" s="121"/>
      <c r="N528" s="4" t="s">
        <v>36</v>
      </c>
      <c r="P528" s="191">
        <v>0</v>
      </c>
      <c r="Q528" s="165">
        <v>0</v>
      </c>
      <c r="R528">
        <v>0</v>
      </c>
      <c r="S528" s="6"/>
      <c r="T528" s="61"/>
      <c r="U528" s="61">
        <f t="shared" si="562"/>
        <v>0</v>
      </c>
      <c r="V528" s="7" t="str">
        <f t="shared" si="563"/>
        <v>NONE</v>
      </c>
      <c r="W528" s="56"/>
      <c r="X528" s="5"/>
      <c r="Y528" s="61">
        <f t="shared" si="534"/>
        <v>0</v>
      </c>
      <c r="Z528" s="61"/>
      <c r="AA528" s="1">
        <f t="shared" si="535"/>
        <v>0</v>
      </c>
      <c r="AB528" s="1">
        <f t="shared" si="564"/>
        <v>0</v>
      </c>
      <c r="AC528" s="1"/>
      <c r="AD528" s="65">
        <f t="shared" si="565"/>
        <v>0</v>
      </c>
      <c r="AE528" s="1"/>
      <c r="AF528" s="1">
        <f t="shared" si="566"/>
        <v>0</v>
      </c>
      <c r="AG528" s="1">
        <f>IF(AH528&gt;0,AH370:AH528,0)</f>
        <v>0</v>
      </c>
      <c r="AH528" s="1">
        <f t="shared" si="567"/>
        <v>0</v>
      </c>
      <c r="AJ528">
        <f t="shared" si="568"/>
        <v>0</v>
      </c>
      <c r="AK528">
        <f t="shared" si="569"/>
        <v>0</v>
      </c>
      <c r="AL528">
        <f t="shared" si="570"/>
        <v>0</v>
      </c>
      <c r="AM528">
        <f t="shared" si="571"/>
        <v>0</v>
      </c>
      <c r="AO528">
        <f t="shared" si="572"/>
        <v>0</v>
      </c>
      <c r="AP528">
        <f t="shared" si="573"/>
        <v>0</v>
      </c>
      <c r="AQ528">
        <f t="shared" si="574"/>
        <v>0</v>
      </c>
      <c r="AR528">
        <f t="shared" si="575"/>
        <v>0</v>
      </c>
    </row>
    <row r="529" spans="2:44" x14ac:dyDescent="0.25">
      <c r="B529" s="94" t="s">
        <v>1258</v>
      </c>
      <c r="C529" s="94" t="s">
        <v>929</v>
      </c>
      <c r="D529" s="94"/>
      <c r="E529" s="94" t="s">
        <v>899</v>
      </c>
      <c r="F529" s="94"/>
      <c r="G529" s="94"/>
      <c r="H529" s="243" t="s">
        <v>1432</v>
      </c>
      <c r="I529" s="250">
        <v>7</v>
      </c>
      <c r="J529" s="248"/>
      <c r="K529" s="248" t="s">
        <v>1325</v>
      </c>
      <c r="L529" s="248"/>
      <c r="M529" s="280"/>
      <c r="N529" s="4" t="s">
        <v>36</v>
      </c>
      <c r="P529" s="191">
        <v>1723.59</v>
      </c>
      <c r="Q529" s="165">
        <v>500</v>
      </c>
      <c r="R529">
        <v>1723.59</v>
      </c>
      <c r="S529" s="354" t="s">
        <v>1433</v>
      </c>
      <c r="T529" s="61"/>
      <c r="U529" s="61">
        <f t="shared" si="562"/>
        <v>0</v>
      </c>
      <c r="V529" s="7" t="str">
        <f t="shared" si="563"/>
        <v>NONE</v>
      </c>
      <c r="W529" s="56"/>
      <c r="X529" s="87"/>
      <c r="Y529" s="61">
        <f t="shared" si="534"/>
        <v>2223.59</v>
      </c>
      <c r="Z529" s="61"/>
      <c r="AA529" s="1">
        <f t="shared" si="535"/>
        <v>0</v>
      </c>
      <c r="AB529" s="1">
        <f t="shared" si="564"/>
        <v>130</v>
      </c>
      <c r="AC529" s="1"/>
      <c r="AD529" s="65">
        <f t="shared" si="565"/>
        <v>1593.59</v>
      </c>
      <c r="AE529" s="1"/>
      <c r="AF529" s="1">
        <f t="shared" si="566"/>
        <v>0</v>
      </c>
      <c r="AG529" s="1">
        <f>IF(AH529&gt;0,AH370:AH538,0)</f>
        <v>1593.59</v>
      </c>
      <c r="AH529" s="1">
        <f t="shared" si="567"/>
        <v>1593.59</v>
      </c>
      <c r="AJ529">
        <f t="shared" si="568"/>
        <v>0</v>
      </c>
      <c r="AK529">
        <f t="shared" si="569"/>
        <v>0</v>
      </c>
      <c r="AL529">
        <f t="shared" si="570"/>
        <v>0</v>
      </c>
      <c r="AM529">
        <f t="shared" si="571"/>
        <v>0</v>
      </c>
      <c r="AO529">
        <f t="shared" si="572"/>
        <v>0</v>
      </c>
      <c r="AP529">
        <f t="shared" si="573"/>
        <v>0</v>
      </c>
      <c r="AQ529">
        <f t="shared" si="574"/>
        <v>0</v>
      </c>
      <c r="AR529">
        <f t="shared" si="575"/>
        <v>0</v>
      </c>
    </row>
    <row r="530" spans="2:44" ht="13.15" customHeight="1" x14ac:dyDescent="0.25">
      <c r="B530" s="83" t="s">
        <v>82</v>
      </c>
      <c r="C530" s="253"/>
      <c r="D530" s="253"/>
      <c r="E530" s="248"/>
      <c r="F530" s="248"/>
      <c r="G530" s="248"/>
      <c r="H530" s="250" t="s">
        <v>1401</v>
      </c>
      <c r="I530" s="250">
        <v>5</v>
      </c>
      <c r="J530" s="248"/>
      <c r="K530" s="248"/>
      <c r="L530" s="248"/>
      <c r="M530" s="280"/>
      <c r="N530" s="4" t="s">
        <v>36</v>
      </c>
      <c r="P530" s="191">
        <v>0</v>
      </c>
      <c r="Q530" s="165">
        <v>0</v>
      </c>
      <c r="R530">
        <v>0</v>
      </c>
      <c r="S530" s="6"/>
      <c r="T530" s="61"/>
      <c r="U530" s="61">
        <f t="shared" si="562"/>
        <v>0</v>
      </c>
      <c r="V530" s="7" t="str">
        <f t="shared" si="563"/>
        <v>NONE</v>
      </c>
      <c r="W530" s="56"/>
      <c r="X530" s="5"/>
      <c r="Y530" s="61">
        <f t="shared" si="534"/>
        <v>0</v>
      </c>
      <c r="Z530" s="61"/>
      <c r="AA530" s="1">
        <f t="shared" si="535"/>
        <v>0</v>
      </c>
      <c r="AB530" s="1">
        <f t="shared" si="564"/>
        <v>130</v>
      </c>
      <c r="AC530" s="1"/>
      <c r="AD530" s="65">
        <f t="shared" si="565"/>
        <v>-130</v>
      </c>
      <c r="AE530" s="1"/>
      <c r="AF530" s="1">
        <f t="shared" si="566"/>
        <v>0</v>
      </c>
      <c r="AG530" s="1">
        <f>IF(AH530&gt;0,AH373:AH530,0)</f>
        <v>0</v>
      </c>
      <c r="AH530" s="1">
        <f t="shared" si="567"/>
        <v>-130</v>
      </c>
      <c r="AJ530">
        <f t="shared" si="568"/>
        <v>0</v>
      </c>
      <c r="AK530">
        <f t="shared" si="569"/>
        <v>0</v>
      </c>
      <c r="AL530">
        <f t="shared" si="570"/>
        <v>0</v>
      </c>
      <c r="AM530">
        <f t="shared" si="571"/>
        <v>0</v>
      </c>
      <c r="AO530">
        <f t="shared" si="572"/>
        <v>0</v>
      </c>
      <c r="AP530">
        <f t="shared" si="573"/>
        <v>0</v>
      </c>
      <c r="AQ530">
        <f t="shared" si="574"/>
        <v>0</v>
      </c>
      <c r="AR530">
        <f t="shared" si="575"/>
        <v>0</v>
      </c>
    </row>
    <row r="531" spans="2:44" x14ac:dyDescent="0.25">
      <c r="B531" s="253"/>
      <c r="C531" s="248"/>
      <c r="D531" s="248"/>
      <c r="E531" s="248"/>
      <c r="F531" s="248"/>
      <c r="G531" s="248"/>
      <c r="H531" s="248"/>
      <c r="I531" s="250"/>
      <c r="J531" s="248"/>
      <c r="K531" s="248"/>
      <c r="L531" s="248"/>
      <c r="M531" s="308"/>
      <c r="N531" s="4" t="s">
        <v>36</v>
      </c>
      <c r="P531" s="191">
        <v>0</v>
      </c>
      <c r="Q531" s="165">
        <v>0</v>
      </c>
      <c r="R531">
        <v>0</v>
      </c>
      <c r="S531" s="6"/>
      <c r="T531" s="61"/>
      <c r="U531" s="61">
        <f t="shared" si="562"/>
        <v>0</v>
      </c>
      <c r="V531" s="7" t="str">
        <f t="shared" si="563"/>
        <v>NONE</v>
      </c>
      <c r="W531" s="56"/>
      <c r="X531" s="5"/>
      <c r="Y531" s="61">
        <f t="shared" si="534"/>
        <v>0</v>
      </c>
      <c r="Z531" s="61"/>
      <c r="AA531" s="1">
        <f t="shared" si="535"/>
        <v>0</v>
      </c>
      <c r="AB531" s="1">
        <f t="shared" si="564"/>
        <v>0</v>
      </c>
      <c r="AC531" s="1"/>
      <c r="AD531" s="65">
        <f t="shared" si="565"/>
        <v>0</v>
      </c>
      <c r="AE531" s="1"/>
      <c r="AF531" s="1">
        <f t="shared" si="566"/>
        <v>0</v>
      </c>
      <c r="AG531" s="1">
        <f>IF(AH531&gt;0,AH373:AH531,0)</f>
        <v>0</v>
      </c>
      <c r="AH531" s="1">
        <f t="shared" si="567"/>
        <v>0</v>
      </c>
      <c r="AJ531">
        <f t="shared" si="568"/>
        <v>0</v>
      </c>
      <c r="AK531">
        <f t="shared" si="569"/>
        <v>0</v>
      </c>
      <c r="AL531">
        <f t="shared" si="570"/>
        <v>0</v>
      </c>
      <c r="AM531">
        <f t="shared" si="571"/>
        <v>0</v>
      </c>
      <c r="AO531">
        <f t="shared" si="572"/>
        <v>0</v>
      </c>
      <c r="AP531">
        <f t="shared" si="573"/>
        <v>0</v>
      </c>
      <c r="AQ531">
        <f t="shared" si="574"/>
        <v>0</v>
      </c>
      <c r="AR531">
        <f t="shared" si="575"/>
        <v>0</v>
      </c>
    </row>
    <row r="532" spans="2:44" x14ac:dyDescent="0.25">
      <c r="B532" s="83" t="s">
        <v>82</v>
      </c>
      <c r="C532" s="253"/>
      <c r="D532" s="253"/>
      <c r="E532" s="248"/>
      <c r="F532" s="248"/>
      <c r="G532" s="248"/>
      <c r="H532" s="248" t="s">
        <v>1402</v>
      </c>
      <c r="I532" s="250">
        <v>8</v>
      </c>
      <c r="J532" s="248"/>
      <c r="K532" s="248"/>
      <c r="L532" s="248"/>
      <c r="M532" s="280"/>
      <c r="N532" s="4" t="s">
        <v>36</v>
      </c>
      <c r="P532" s="191">
        <v>0</v>
      </c>
      <c r="Q532" s="165">
        <v>0</v>
      </c>
      <c r="R532">
        <v>0</v>
      </c>
      <c r="S532" s="6"/>
      <c r="T532" s="61"/>
      <c r="U532" s="61">
        <f t="shared" si="562"/>
        <v>0</v>
      </c>
      <c r="V532" s="7" t="str">
        <f t="shared" si="563"/>
        <v>NONE</v>
      </c>
      <c r="W532" s="56"/>
      <c r="X532" s="5"/>
      <c r="Y532" s="61">
        <f t="shared" si="534"/>
        <v>0</v>
      </c>
      <c r="Z532" s="61"/>
      <c r="AA532" s="1">
        <f t="shared" si="535"/>
        <v>0</v>
      </c>
      <c r="AB532" s="1">
        <f t="shared" si="564"/>
        <v>130</v>
      </c>
      <c r="AC532" s="1"/>
      <c r="AD532" s="65">
        <f t="shared" si="565"/>
        <v>-130</v>
      </c>
      <c r="AE532" s="1"/>
      <c r="AF532" s="1">
        <f t="shared" si="566"/>
        <v>0</v>
      </c>
      <c r="AG532" s="1">
        <f>IF(AH532&gt;0,AH374:AH532,0)</f>
        <v>0</v>
      </c>
      <c r="AH532" s="1">
        <f t="shared" si="567"/>
        <v>-130</v>
      </c>
      <c r="AJ532">
        <f t="shared" si="568"/>
        <v>0</v>
      </c>
      <c r="AK532">
        <f t="shared" si="569"/>
        <v>0</v>
      </c>
      <c r="AL532">
        <f t="shared" si="570"/>
        <v>0</v>
      </c>
      <c r="AM532">
        <f t="shared" si="571"/>
        <v>0</v>
      </c>
      <c r="AO532">
        <f t="shared" si="572"/>
        <v>0</v>
      </c>
      <c r="AP532">
        <f t="shared" si="573"/>
        <v>0</v>
      </c>
      <c r="AQ532">
        <f t="shared" si="574"/>
        <v>0</v>
      </c>
      <c r="AR532">
        <f t="shared" si="575"/>
        <v>0</v>
      </c>
    </row>
    <row r="533" spans="2:44" x14ac:dyDescent="0.25">
      <c r="B533" s="253"/>
      <c r="C533" s="248"/>
      <c r="D533" s="248"/>
      <c r="E533" s="248"/>
      <c r="F533" s="248"/>
      <c r="G533" s="248"/>
      <c r="H533" s="248"/>
      <c r="I533" s="250"/>
      <c r="J533" s="248"/>
      <c r="K533" s="248"/>
      <c r="L533" s="248"/>
      <c r="M533" s="280"/>
      <c r="N533" s="4" t="s">
        <v>36</v>
      </c>
      <c r="P533" s="191">
        <v>0</v>
      </c>
      <c r="Q533" s="165">
        <v>0</v>
      </c>
      <c r="R533">
        <v>0</v>
      </c>
      <c r="S533" s="6"/>
      <c r="T533" s="61"/>
      <c r="U533" s="61">
        <f t="shared" si="562"/>
        <v>0</v>
      </c>
      <c r="V533" s="7" t="str">
        <f t="shared" si="563"/>
        <v>NONE</v>
      </c>
      <c r="W533" s="56"/>
      <c r="X533" s="5"/>
      <c r="Y533" s="61">
        <f t="shared" si="534"/>
        <v>0</v>
      </c>
      <c r="Z533" s="61"/>
      <c r="AA533" s="1">
        <f t="shared" si="535"/>
        <v>0</v>
      </c>
      <c r="AB533" s="1">
        <f t="shared" si="564"/>
        <v>0</v>
      </c>
      <c r="AC533" s="1"/>
      <c r="AD533" s="65">
        <f t="shared" si="565"/>
        <v>0</v>
      </c>
      <c r="AE533" s="1"/>
      <c r="AF533" s="1">
        <f t="shared" si="566"/>
        <v>0</v>
      </c>
      <c r="AG533" s="1">
        <f>IF(AH533&gt;0,AH373:AH538,0)</f>
        <v>0</v>
      </c>
      <c r="AH533" s="1">
        <f t="shared" si="567"/>
        <v>0</v>
      </c>
      <c r="AJ533">
        <f t="shared" si="568"/>
        <v>0</v>
      </c>
      <c r="AK533">
        <f t="shared" si="569"/>
        <v>0</v>
      </c>
      <c r="AL533">
        <f t="shared" si="570"/>
        <v>0</v>
      </c>
      <c r="AM533">
        <f t="shared" si="571"/>
        <v>0</v>
      </c>
      <c r="AO533">
        <f t="shared" si="572"/>
        <v>0</v>
      </c>
      <c r="AP533">
        <f t="shared" si="573"/>
        <v>0</v>
      </c>
      <c r="AQ533">
        <f t="shared" si="574"/>
        <v>0</v>
      </c>
      <c r="AR533">
        <f t="shared" si="575"/>
        <v>0</v>
      </c>
    </row>
    <row r="534" spans="2:44" x14ac:dyDescent="0.25">
      <c r="B534" s="253"/>
      <c r="C534" s="253"/>
      <c r="D534" s="253"/>
      <c r="E534" s="248"/>
      <c r="F534" s="248"/>
      <c r="G534" s="248"/>
      <c r="H534" s="250"/>
      <c r="I534" s="250"/>
      <c r="J534" s="248"/>
      <c r="K534" s="248"/>
      <c r="L534" s="248"/>
      <c r="M534" s="280"/>
      <c r="N534" s="4" t="s">
        <v>36</v>
      </c>
      <c r="P534" s="191">
        <v>0</v>
      </c>
      <c r="Q534" s="165">
        <v>0</v>
      </c>
      <c r="R534">
        <v>0</v>
      </c>
      <c r="S534" s="6"/>
      <c r="T534" s="61"/>
      <c r="U534" s="61">
        <f t="shared" si="562"/>
        <v>0</v>
      </c>
      <c r="V534" s="7" t="str">
        <f t="shared" si="563"/>
        <v>NONE</v>
      </c>
      <c r="W534" s="56"/>
      <c r="X534" s="5"/>
      <c r="Y534" s="61">
        <f t="shared" si="534"/>
        <v>0</v>
      </c>
      <c r="Z534" s="61"/>
      <c r="AA534" s="1">
        <f t="shared" si="535"/>
        <v>0</v>
      </c>
      <c r="AB534" s="1">
        <f t="shared" si="564"/>
        <v>0</v>
      </c>
      <c r="AC534" s="1"/>
      <c r="AD534" s="65">
        <f t="shared" si="565"/>
        <v>0</v>
      </c>
      <c r="AE534" s="1"/>
      <c r="AF534" s="1">
        <f t="shared" si="566"/>
        <v>0</v>
      </c>
      <c r="AG534" s="1">
        <f>IF(AH534&gt;0,AH375:AH534,0)</f>
        <v>0</v>
      </c>
      <c r="AH534" s="1">
        <f t="shared" si="567"/>
        <v>0</v>
      </c>
      <c r="AJ534">
        <f t="shared" si="568"/>
        <v>0</v>
      </c>
      <c r="AK534">
        <f t="shared" si="569"/>
        <v>0</v>
      </c>
      <c r="AL534">
        <f t="shared" si="570"/>
        <v>0</v>
      </c>
      <c r="AM534">
        <f t="shared" si="571"/>
        <v>0</v>
      </c>
      <c r="AO534">
        <f t="shared" si="572"/>
        <v>0</v>
      </c>
      <c r="AP534">
        <f t="shared" si="573"/>
        <v>0</v>
      </c>
      <c r="AQ534">
        <f t="shared" si="574"/>
        <v>0</v>
      </c>
      <c r="AR534">
        <f t="shared" si="575"/>
        <v>0</v>
      </c>
    </row>
    <row r="535" spans="2:44" x14ac:dyDescent="0.25">
      <c r="B535" s="248"/>
      <c r="C535" s="248"/>
      <c r="D535" s="248"/>
      <c r="E535" s="248"/>
      <c r="F535" s="248"/>
      <c r="G535" s="248"/>
      <c r="H535" s="250"/>
      <c r="I535" s="250"/>
      <c r="J535" s="248"/>
      <c r="K535" s="248"/>
      <c r="L535" s="248"/>
      <c r="M535" s="280"/>
      <c r="N535" s="4" t="s">
        <v>36</v>
      </c>
      <c r="P535" s="191">
        <v>0</v>
      </c>
      <c r="Q535" s="165">
        <v>0</v>
      </c>
      <c r="R535">
        <v>0</v>
      </c>
      <c r="S535" s="6"/>
      <c r="T535" s="61"/>
      <c r="U535" s="61">
        <f t="shared" si="562"/>
        <v>0</v>
      </c>
      <c r="V535" s="7" t="str">
        <f t="shared" si="563"/>
        <v>NONE</v>
      </c>
      <c r="W535" s="56"/>
      <c r="X535" s="183"/>
      <c r="Y535" s="61">
        <f t="shared" si="534"/>
        <v>0</v>
      </c>
      <c r="Z535" s="61"/>
      <c r="AA535" s="1">
        <f t="shared" si="535"/>
        <v>0</v>
      </c>
      <c r="AB535" s="1">
        <f t="shared" si="564"/>
        <v>0</v>
      </c>
      <c r="AC535" s="1"/>
      <c r="AD535" s="65">
        <f t="shared" si="565"/>
        <v>0</v>
      </c>
      <c r="AE535" s="1"/>
      <c r="AF535" s="1">
        <f t="shared" si="566"/>
        <v>0</v>
      </c>
      <c r="AG535" s="1">
        <f>IF(AH535&gt;0,AH373:AH535,0)</f>
        <v>0</v>
      </c>
      <c r="AH535" s="1">
        <f t="shared" si="567"/>
        <v>0</v>
      </c>
      <c r="AJ535">
        <f t="shared" si="568"/>
        <v>0</v>
      </c>
      <c r="AK535">
        <f t="shared" si="569"/>
        <v>0</v>
      </c>
      <c r="AL535">
        <f t="shared" si="570"/>
        <v>0</v>
      </c>
      <c r="AM535">
        <f t="shared" si="571"/>
        <v>0</v>
      </c>
      <c r="AO535">
        <f t="shared" si="572"/>
        <v>0</v>
      </c>
      <c r="AP535">
        <f t="shared" si="573"/>
        <v>0</v>
      </c>
      <c r="AQ535">
        <f t="shared" si="574"/>
        <v>0</v>
      </c>
      <c r="AR535">
        <f t="shared" si="575"/>
        <v>0</v>
      </c>
    </row>
    <row r="536" spans="2:44" x14ac:dyDescent="0.25">
      <c r="B536" s="253"/>
      <c r="C536" s="248"/>
      <c r="D536" s="248"/>
      <c r="E536" s="248"/>
      <c r="F536" s="248"/>
      <c r="G536" s="248"/>
      <c r="H536" s="250"/>
      <c r="I536" s="250"/>
      <c r="J536" s="248"/>
      <c r="K536" s="248"/>
      <c r="L536" s="248"/>
      <c r="M536" s="280"/>
      <c r="N536" s="4" t="s">
        <v>36</v>
      </c>
      <c r="P536" s="191">
        <v>0</v>
      </c>
      <c r="Q536" s="165">
        <v>0</v>
      </c>
      <c r="R536">
        <v>0</v>
      </c>
      <c r="S536" s="6"/>
      <c r="T536" s="61"/>
      <c r="U536" s="61">
        <f t="shared" si="562"/>
        <v>0</v>
      </c>
      <c r="V536" s="7" t="str">
        <f t="shared" si="563"/>
        <v>NONE</v>
      </c>
      <c r="W536" s="56"/>
      <c r="X536" s="5"/>
      <c r="Y536" s="61">
        <f t="shared" si="534"/>
        <v>0</v>
      </c>
      <c r="Z536" s="61"/>
      <c r="AA536" s="1">
        <f t="shared" si="535"/>
        <v>0</v>
      </c>
      <c r="AB536" s="1">
        <f t="shared" si="564"/>
        <v>0</v>
      </c>
      <c r="AC536" s="1"/>
      <c r="AD536" s="65">
        <f t="shared" si="565"/>
        <v>0</v>
      </c>
      <c r="AE536" s="1"/>
      <c r="AF536" s="1">
        <f t="shared" si="566"/>
        <v>0</v>
      </c>
      <c r="AG536" s="1">
        <f>IF(AH536&gt;0,AH375:AH540,0)</f>
        <v>0</v>
      </c>
      <c r="AH536" s="1">
        <f t="shared" si="567"/>
        <v>0</v>
      </c>
      <c r="AJ536">
        <f t="shared" si="568"/>
        <v>0</v>
      </c>
      <c r="AK536">
        <f t="shared" si="569"/>
        <v>0</v>
      </c>
      <c r="AL536">
        <f t="shared" si="570"/>
        <v>0</v>
      </c>
      <c r="AM536">
        <f t="shared" si="571"/>
        <v>0</v>
      </c>
      <c r="AO536">
        <f t="shared" si="572"/>
        <v>0</v>
      </c>
      <c r="AP536">
        <f t="shared" si="573"/>
        <v>0</v>
      </c>
      <c r="AQ536">
        <f t="shared" si="574"/>
        <v>0</v>
      </c>
      <c r="AR536">
        <f t="shared" si="575"/>
        <v>0</v>
      </c>
    </row>
    <row r="537" spans="2:44" x14ac:dyDescent="0.25">
      <c r="B537" s="253"/>
      <c r="C537" s="253"/>
      <c r="D537" s="253"/>
      <c r="E537" s="248"/>
      <c r="F537" s="248"/>
      <c r="G537" s="248"/>
      <c r="H537" s="248"/>
      <c r="I537" s="250"/>
      <c r="J537" s="248"/>
      <c r="K537" s="248"/>
      <c r="L537" s="248"/>
      <c r="M537" s="280"/>
      <c r="N537" s="4" t="s">
        <v>36</v>
      </c>
      <c r="P537" s="191">
        <v>0</v>
      </c>
      <c r="Q537" s="165">
        <v>0</v>
      </c>
      <c r="R537">
        <v>0</v>
      </c>
      <c r="S537" s="6"/>
      <c r="T537" s="61"/>
      <c r="U537" s="61">
        <f t="shared" si="562"/>
        <v>0</v>
      </c>
      <c r="V537" s="7" t="str">
        <f t="shared" si="563"/>
        <v>NONE</v>
      </c>
      <c r="W537" s="56"/>
      <c r="X537" s="5"/>
      <c r="Y537" s="61">
        <f t="shared" si="534"/>
        <v>0</v>
      </c>
      <c r="Z537" s="61"/>
      <c r="AA537" s="1">
        <f t="shared" si="535"/>
        <v>0</v>
      </c>
      <c r="AB537" s="1">
        <f t="shared" si="564"/>
        <v>0</v>
      </c>
      <c r="AC537" s="1"/>
      <c r="AD537" s="65">
        <f t="shared" si="565"/>
        <v>0</v>
      </c>
      <c r="AE537" s="1"/>
      <c r="AF537" s="1">
        <f t="shared" si="566"/>
        <v>0</v>
      </c>
      <c r="AG537" s="1">
        <f>IF(AH537&gt;0,AH376:AH537,0)</f>
        <v>0</v>
      </c>
      <c r="AH537" s="1">
        <f t="shared" si="567"/>
        <v>0</v>
      </c>
      <c r="AJ537">
        <f t="shared" si="568"/>
        <v>0</v>
      </c>
      <c r="AK537">
        <f t="shared" si="569"/>
        <v>0</v>
      </c>
      <c r="AL537">
        <f t="shared" si="570"/>
        <v>0</v>
      </c>
      <c r="AM537">
        <f t="shared" si="571"/>
        <v>0</v>
      </c>
      <c r="AO537">
        <f t="shared" si="572"/>
        <v>0</v>
      </c>
      <c r="AP537">
        <f t="shared" si="573"/>
        <v>0</v>
      </c>
      <c r="AQ537">
        <f t="shared" si="574"/>
        <v>0</v>
      </c>
      <c r="AR537">
        <f t="shared" si="575"/>
        <v>0</v>
      </c>
    </row>
    <row r="538" spans="2:44" x14ac:dyDescent="0.25">
      <c r="B538" s="248"/>
      <c r="C538" s="248"/>
      <c r="D538" s="248"/>
      <c r="E538" s="248"/>
      <c r="F538" s="248"/>
      <c r="G538" s="248"/>
      <c r="H538" s="248"/>
      <c r="I538" s="250"/>
      <c r="J538" s="248"/>
      <c r="K538" s="248"/>
      <c r="L538" s="248"/>
      <c r="M538" s="280"/>
      <c r="N538" s="4" t="s">
        <v>36</v>
      </c>
      <c r="P538" s="191">
        <v>0</v>
      </c>
      <c r="Q538" s="165">
        <v>0</v>
      </c>
      <c r="R538">
        <v>0</v>
      </c>
      <c r="S538" s="6"/>
      <c r="T538" s="61"/>
      <c r="U538" s="61">
        <f t="shared" si="562"/>
        <v>0</v>
      </c>
      <c r="V538" s="7" t="str">
        <f t="shared" si="563"/>
        <v>NONE</v>
      </c>
      <c r="W538" s="56"/>
      <c r="X538" s="5"/>
      <c r="Y538" s="61">
        <f t="shared" si="534"/>
        <v>0</v>
      </c>
      <c r="Z538" s="61"/>
      <c r="AA538" s="1">
        <f t="shared" si="535"/>
        <v>0</v>
      </c>
      <c r="AB538" s="1">
        <f t="shared" si="564"/>
        <v>0</v>
      </c>
      <c r="AC538" s="1"/>
      <c r="AD538" s="65">
        <f t="shared" si="565"/>
        <v>0</v>
      </c>
      <c r="AE538" s="1"/>
      <c r="AF538" s="1">
        <f t="shared" si="566"/>
        <v>0</v>
      </c>
      <c r="AG538" s="1">
        <f>IF(AH538&gt;0,AH377:AH538,0)</f>
        <v>0</v>
      </c>
      <c r="AH538" s="1">
        <f t="shared" si="567"/>
        <v>0</v>
      </c>
      <c r="AJ538">
        <f t="shared" si="568"/>
        <v>0</v>
      </c>
      <c r="AK538">
        <f t="shared" si="569"/>
        <v>0</v>
      </c>
      <c r="AL538">
        <f t="shared" si="570"/>
        <v>0</v>
      </c>
      <c r="AM538">
        <f t="shared" si="571"/>
        <v>0</v>
      </c>
      <c r="AO538">
        <f t="shared" si="572"/>
        <v>0</v>
      </c>
      <c r="AP538">
        <f t="shared" si="573"/>
        <v>0</v>
      </c>
      <c r="AQ538">
        <f t="shared" si="574"/>
        <v>0</v>
      </c>
      <c r="AR538">
        <f t="shared" si="575"/>
        <v>0</v>
      </c>
    </row>
    <row r="539" spans="2:44" x14ac:dyDescent="0.25">
      <c r="B539" s="253"/>
      <c r="C539" s="248"/>
      <c r="D539" s="248"/>
      <c r="E539" s="248"/>
      <c r="F539" s="248"/>
      <c r="G539" s="248"/>
      <c r="H539" s="250"/>
      <c r="I539" s="250"/>
      <c r="J539" s="248"/>
      <c r="K539" s="248"/>
      <c r="L539" s="248"/>
      <c r="M539" s="280"/>
      <c r="N539" s="4" t="s">
        <v>36</v>
      </c>
      <c r="P539" s="191">
        <v>0</v>
      </c>
      <c r="Q539" s="165">
        <v>0</v>
      </c>
      <c r="R539">
        <v>0</v>
      </c>
      <c r="S539" s="6"/>
      <c r="T539" s="61"/>
      <c r="U539" s="61">
        <f t="shared" si="562"/>
        <v>0</v>
      </c>
      <c r="V539" s="7" t="str">
        <f t="shared" si="563"/>
        <v>NONE</v>
      </c>
      <c r="W539" s="56"/>
      <c r="X539" s="5"/>
      <c r="Y539" s="61">
        <f t="shared" si="534"/>
        <v>0</v>
      </c>
      <c r="Z539" s="61"/>
      <c r="AA539" s="1">
        <f t="shared" si="535"/>
        <v>0</v>
      </c>
      <c r="AB539" s="1">
        <f t="shared" si="564"/>
        <v>0</v>
      </c>
      <c r="AC539" s="1"/>
      <c r="AD539" s="65">
        <f t="shared" si="565"/>
        <v>0</v>
      </c>
      <c r="AE539" s="1"/>
      <c r="AF539" s="1">
        <f t="shared" si="566"/>
        <v>0</v>
      </c>
      <c r="AG539" s="1">
        <f>IF(AH539&gt;0,AH383:AH539,0)</f>
        <v>0</v>
      </c>
      <c r="AH539" s="1">
        <f t="shared" si="567"/>
        <v>0</v>
      </c>
      <c r="AJ539">
        <f t="shared" si="568"/>
        <v>0</v>
      </c>
      <c r="AK539">
        <f t="shared" si="569"/>
        <v>0</v>
      </c>
      <c r="AL539">
        <f t="shared" si="570"/>
        <v>0</v>
      </c>
      <c r="AM539">
        <f t="shared" si="571"/>
        <v>0</v>
      </c>
      <c r="AO539">
        <f t="shared" si="572"/>
        <v>0</v>
      </c>
      <c r="AP539">
        <f t="shared" si="573"/>
        <v>0</v>
      </c>
      <c r="AQ539">
        <f t="shared" si="574"/>
        <v>0</v>
      </c>
      <c r="AR539">
        <f t="shared" si="575"/>
        <v>0</v>
      </c>
    </row>
    <row r="540" spans="2:44" x14ac:dyDescent="0.25">
      <c r="B540" s="8"/>
      <c r="F540">
        <f>IF(E540=$B$12,I540,0)</f>
        <v>0</v>
      </c>
      <c r="G540">
        <f>IF(F540&gt;0,0,1)</f>
        <v>1</v>
      </c>
      <c r="I540" s="121"/>
      <c r="N540" s="4" t="s">
        <v>36</v>
      </c>
      <c r="P540" s="191">
        <v>0</v>
      </c>
      <c r="Q540" s="165">
        <v>0</v>
      </c>
      <c r="R540">
        <v>0</v>
      </c>
      <c r="S540" s="6"/>
      <c r="T540" s="61"/>
      <c r="U540" s="61">
        <f t="shared" si="562"/>
        <v>0</v>
      </c>
      <c r="V540" s="7" t="str">
        <f t="shared" si="563"/>
        <v>NONE</v>
      </c>
      <c r="W540" s="56"/>
      <c r="X540" s="5"/>
      <c r="Y540" s="61">
        <f t="shared" si="534"/>
        <v>0</v>
      </c>
      <c r="Z540" s="61"/>
      <c r="AA540" s="1">
        <f t="shared" si="535"/>
        <v>0</v>
      </c>
      <c r="AB540" s="1">
        <f t="shared" si="564"/>
        <v>0</v>
      </c>
      <c r="AC540" s="1"/>
      <c r="AD540" s="65">
        <f t="shared" si="565"/>
        <v>0</v>
      </c>
      <c r="AE540" s="1"/>
      <c r="AF540" s="1">
        <f t="shared" si="566"/>
        <v>0</v>
      </c>
      <c r="AG540" s="1">
        <f>IF(AH540&gt;0,AH384:AH540,0)</f>
        <v>0</v>
      </c>
      <c r="AH540" s="1">
        <f t="shared" si="567"/>
        <v>0</v>
      </c>
      <c r="AJ540">
        <f t="shared" si="568"/>
        <v>0</v>
      </c>
      <c r="AK540">
        <f t="shared" si="569"/>
        <v>0</v>
      </c>
      <c r="AL540">
        <f t="shared" si="570"/>
        <v>0</v>
      </c>
      <c r="AM540">
        <f t="shared" si="571"/>
        <v>0</v>
      </c>
      <c r="AO540">
        <f t="shared" si="572"/>
        <v>0</v>
      </c>
      <c r="AP540">
        <f t="shared" si="573"/>
        <v>0</v>
      </c>
      <c r="AQ540">
        <f t="shared" si="574"/>
        <v>0</v>
      </c>
      <c r="AR540">
        <f t="shared" si="575"/>
        <v>0</v>
      </c>
    </row>
    <row r="541" spans="2:44" x14ac:dyDescent="0.25">
      <c r="F541">
        <f>IF(E541=$B$12,I541,0)</f>
        <v>0</v>
      </c>
      <c r="G541">
        <f>IF(F541&gt;0,0,1)</f>
        <v>1</v>
      </c>
      <c r="I541" s="121"/>
      <c r="N541" s="4" t="s">
        <v>36</v>
      </c>
      <c r="P541" s="191">
        <v>0</v>
      </c>
      <c r="Q541" s="165">
        <v>0</v>
      </c>
      <c r="R541">
        <v>0</v>
      </c>
      <c r="S541" s="6"/>
      <c r="T541" s="61"/>
      <c r="U541" s="61">
        <f t="shared" si="562"/>
        <v>0</v>
      </c>
      <c r="V541" s="7" t="str">
        <f t="shared" si="563"/>
        <v>NONE</v>
      </c>
      <c r="W541" s="56"/>
      <c r="X541" s="5"/>
      <c r="Y541" s="61">
        <f t="shared" si="534"/>
        <v>0</v>
      </c>
      <c r="Z541" s="61"/>
      <c r="AA541" s="1">
        <f t="shared" si="535"/>
        <v>0</v>
      </c>
      <c r="AB541" s="1">
        <f t="shared" si="564"/>
        <v>0</v>
      </c>
      <c r="AC541" s="1"/>
      <c r="AD541" s="65">
        <f t="shared" si="565"/>
        <v>0</v>
      </c>
      <c r="AE541" s="1"/>
      <c r="AF541" s="1">
        <f t="shared" si="566"/>
        <v>0</v>
      </c>
      <c r="AG541" s="1">
        <f>IF(AH541&gt;0,AH383:AH541,0)</f>
        <v>0</v>
      </c>
      <c r="AH541" s="1">
        <f t="shared" si="567"/>
        <v>0</v>
      </c>
      <c r="AJ541">
        <f t="shared" si="568"/>
        <v>0</v>
      </c>
      <c r="AK541">
        <f t="shared" si="569"/>
        <v>0</v>
      </c>
      <c r="AL541">
        <f t="shared" si="570"/>
        <v>0</v>
      </c>
      <c r="AM541">
        <f t="shared" si="571"/>
        <v>0</v>
      </c>
      <c r="AO541">
        <f t="shared" si="572"/>
        <v>0</v>
      </c>
      <c r="AP541">
        <f t="shared" si="573"/>
        <v>0</v>
      </c>
      <c r="AQ541">
        <f t="shared" si="574"/>
        <v>0</v>
      </c>
      <c r="AR541">
        <f t="shared" si="575"/>
        <v>0</v>
      </c>
    </row>
    <row r="542" spans="2:44" x14ac:dyDescent="0.25">
      <c r="C542" s="8"/>
      <c r="D542" s="8"/>
      <c r="F542">
        <f>IF(E542=$B$12,I542,0)</f>
        <v>0</v>
      </c>
      <c r="G542">
        <f>IF(F542&gt;0,0,1)</f>
        <v>1</v>
      </c>
      <c r="H542" s="121"/>
      <c r="I542" s="121"/>
      <c r="N542" s="4" t="s">
        <v>36</v>
      </c>
      <c r="P542" s="191">
        <v>0</v>
      </c>
      <c r="Q542" s="165">
        <v>0</v>
      </c>
      <c r="R542">
        <v>0</v>
      </c>
      <c r="S542" s="6"/>
      <c r="T542" s="61"/>
      <c r="U542" s="61">
        <f t="shared" si="562"/>
        <v>0</v>
      </c>
      <c r="V542" s="7" t="str">
        <f t="shared" si="563"/>
        <v>NONE</v>
      </c>
      <c r="W542" s="56"/>
      <c r="X542" s="5"/>
      <c r="Y542" s="61">
        <f t="shared" si="534"/>
        <v>0</v>
      </c>
      <c r="Z542" s="61"/>
      <c r="AA542" s="1">
        <f t="shared" si="535"/>
        <v>0</v>
      </c>
      <c r="AB542" s="1">
        <f t="shared" si="564"/>
        <v>0</v>
      </c>
      <c r="AC542" s="1"/>
      <c r="AD542" s="65">
        <f t="shared" si="565"/>
        <v>0</v>
      </c>
      <c r="AE542" s="1"/>
      <c r="AF542" s="1">
        <f t="shared" si="566"/>
        <v>0</v>
      </c>
      <c r="AG542" s="1">
        <f>IF(AH542&gt;0,AH385:AH542,0)</f>
        <v>0</v>
      </c>
      <c r="AH542" s="1">
        <f t="shared" si="567"/>
        <v>0</v>
      </c>
      <c r="AJ542">
        <f t="shared" si="568"/>
        <v>0</v>
      </c>
      <c r="AK542">
        <f t="shared" si="569"/>
        <v>0</v>
      </c>
      <c r="AL542">
        <f t="shared" si="570"/>
        <v>0</v>
      </c>
      <c r="AM542">
        <f t="shared" si="571"/>
        <v>0</v>
      </c>
      <c r="AO542">
        <f t="shared" si="572"/>
        <v>0</v>
      </c>
      <c r="AP542">
        <f t="shared" si="573"/>
        <v>0</v>
      </c>
      <c r="AQ542">
        <f t="shared" si="574"/>
        <v>0</v>
      </c>
      <c r="AR542">
        <f t="shared" si="575"/>
        <v>0</v>
      </c>
    </row>
    <row r="543" spans="2:44" x14ac:dyDescent="0.25">
      <c r="B543" s="8"/>
      <c r="C543" s="8"/>
      <c r="D543" s="8"/>
      <c r="F543">
        <f>IF(E543=$B$12,I543,0)</f>
        <v>0</v>
      </c>
      <c r="G543">
        <f>IF(F543&gt;0,0,1)</f>
        <v>1</v>
      </c>
      <c r="I543" s="121"/>
      <c r="N543" s="4" t="s">
        <v>36</v>
      </c>
      <c r="P543" s="191">
        <v>0</v>
      </c>
      <c r="Q543" s="165">
        <v>0</v>
      </c>
      <c r="R543">
        <v>0</v>
      </c>
      <c r="S543" s="6"/>
      <c r="T543" s="61"/>
      <c r="U543" s="61">
        <f t="shared" si="562"/>
        <v>0</v>
      </c>
      <c r="V543" s="7" t="str">
        <f t="shared" si="563"/>
        <v>NONE</v>
      </c>
      <c r="W543" s="56"/>
      <c r="X543" s="5"/>
      <c r="Y543" s="61">
        <f t="shared" si="534"/>
        <v>0</v>
      </c>
      <c r="Z543" s="61"/>
      <c r="AA543" s="1">
        <f t="shared" si="535"/>
        <v>0</v>
      </c>
      <c r="AB543" s="1">
        <f t="shared" si="564"/>
        <v>0</v>
      </c>
      <c r="AC543" s="1"/>
      <c r="AD543" s="65">
        <f t="shared" si="565"/>
        <v>0</v>
      </c>
      <c r="AE543" s="1"/>
      <c r="AF543" s="1">
        <f t="shared" si="566"/>
        <v>0</v>
      </c>
      <c r="AG543" s="1">
        <f>IF(AH543&gt;0,AH385:AH543,0)</f>
        <v>0</v>
      </c>
      <c r="AH543" s="1">
        <f t="shared" si="567"/>
        <v>0</v>
      </c>
      <c r="AJ543">
        <f t="shared" si="568"/>
        <v>0</v>
      </c>
      <c r="AK543">
        <f t="shared" si="569"/>
        <v>0</v>
      </c>
      <c r="AL543">
        <f t="shared" si="570"/>
        <v>0</v>
      </c>
      <c r="AM543">
        <f t="shared" si="571"/>
        <v>0</v>
      </c>
      <c r="AO543">
        <f t="shared" si="572"/>
        <v>0</v>
      </c>
      <c r="AP543">
        <f t="shared" si="573"/>
        <v>0</v>
      </c>
      <c r="AQ543">
        <f t="shared" si="574"/>
        <v>0</v>
      </c>
      <c r="AR543">
        <f t="shared" si="575"/>
        <v>0</v>
      </c>
    </row>
    <row r="544" spans="2:44" x14ac:dyDescent="0.25">
      <c r="B544" s="83"/>
      <c r="F544">
        <f>IF(E544=$B$12,I544,0)</f>
        <v>0</v>
      </c>
      <c r="G544">
        <f>IF(F544&gt;0,0,1)</f>
        <v>1</v>
      </c>
      <c r="I544" s="121"/>
      <c r="N544" s="4"/>
      <c r="P544" s="191">
        <v>0</v>
      </c>
      <c r="Q544" s="165">
        <v>0</v>
      </c>
      <c r="R544">
        <v>0</v>
      </c>
      <c r="S544" s="6"/>
      <c r="T544" s="61"/>
      <c r="U544" s="61">
        <f t="shared" si="562"/>
        <v>0</v>
      </c>
      <c r="V544" s="7" t="str">
        <f t="shared" si="563"/>
        <v>NONE</v>
      </c>
      <c r="W544" s="56"/>
      <c r="X544" s="5"/>
      <c r="Y544" s="61">
        <f t="shared" si="534"/>
        <v>0</v>
      </c>
      <c r="Z544" s="61"/>
      <c r="AA544" s="1">
        <f t="shared" si="535"/>
        <v>0</v>
      </c>
      <c r="AB544" s="1">
        <f t="shared" si="564"/>
        <v>0</v>
      </c>
      <c r="AC544" s="1"/>
      <c r="AD544" s="65">
        <f t="shared" si="565"/>
        <v>0</v>
      </c>
      <c r="AE544" s="1"/>
      <c r="AF544" s="1">
        <f t="shared" si="566"/>
        <v>0</v>
      </c>
      <c r="AG544" s="1">
        <f>IF(AH544&gt;0,AH384:AH544,0)</f>
        <v>0</v>
      </c>
      <c r="AH544" s="1">
        <f t="shared" si="567"/>
        <v>0</v>
      </c>
      <c r="AJ544">
        <f t="shared" si="568"/>
        <v>0</v>
      </c>
      <c r="AK544">
        <f t="shared" si="569"/>
        <v>0</v>
      </c>
      <c r="AL544">
        <f t="shared" si="570"/>
        <v>0</v>
      </c>
      <c r="AM544">
        <f t="shared" si="571"/>
        <v>0</v>
      </c>
      <c r="AO544">
        <f t="shared" si="572"/>
        <v>0</v>
      </c>
      <c r="AP544">
        <f t="shared" si="573"/>
        <v>0</v>
      </c>
      <c r="AQ544">
        <f t="shared" si="574"/>
        <v>0</v>
      </c>
      <c r="AR544">
        <f t="shared" si="575"/>
        <v>0</v>
      </c>
    </row>
    <row r="545" spans="1:45" x14ac:dyDescent="0.25">
      <c r="A545" s="40"/>
      <c r="B545" s="155">
        <f>COUNTIFS(E502:E544,"&lt;&gt;"&amp;B57)-COUNTIFS(E502:E544,"="&amp;B56)</f>
        <v>17</v>
      </c>
      <c r="C545" s="284" t="s">
        <v>1275</v>
      </c>
      <c r="D545" s="286">
        <f>COUNTIFS(E502:E544,"=FS")</f>
        <v>6</v>
      </c>
      <c r="E545" s="155">
        <f>SUM(F502:F544)</f>
        <v>8</v>
      </c>
      <c r="F545" s="40"/>
      <c r="G545" s="40"/>
      <c r="H545" s="283" t="s">
        <v>1274</v>
      </c>
      <c r="I545" s="53">
        <f>SUM(I502:I544)-SUM(F502:F544)</f>
        <v>177</v>
      </c>
      <c r="J545" s="53"/>
      <c r="K545" s="53">
        <f>ROUND(I545/7,0)</f>
        <v>25</v>
      </c>
      <c r="L545" s="52" t="s">
        <v>214</v>
      </c>
      <c r="M545" s="54" t="s">
        <v>216</v>
      </c>
      <c r="N545" s="123">
        <f>IF(K545&gt;0,ROUND(AG545/K545,0),0)</f>
        <v>1547</v>
      </c>
      <c r="O545" s="40"/>
      <c r="P545" s="71">
        <f>SUM(P502:P544)</f>
        <v>39579.509199999993</v>
      </c>
      <c r="Q545" s="43"/>
      <c r="R545" s="69">
        <f>AA545</f>
        <v>0</v>
      </c>
      <c r="S545" s="68" t="s">
        <v>254</v>
      </c>
      <c r="T545" s="101"/>
      <c r="U545" s="62"/>
      <c r="V545" s="42"/>
      <c r="W545" s="42"/>
      <c r="X545" s="41"/>
      <c r="Y545" s="43"/>
      <c r="Z545" s="43">
        <f>AA545</f>
        <v>0</v>
      </c>
      <c r="AA545" s="43">
        <f>SUM(AA502:AA544)</f>
        <v>0</v>
      </c>
      <c r="AB545" s="43">
        <f>SUM(AB502:AB544)</f>
        <v>2600</v>
      </c>
      <c r="AC545" s="43">
        <f>AB545</f>
        <v>2600</v>
      </c>
      <c r="AD545" s="40"/>
      <c r="AE545" s="43"/>
      <c r="AF545" s="43">
        <f>SUM(AF502:AF544)</f>
        <v>30</v>
      </c>
      <c r="AG545" s="43">
        <f>SUM(AG502:AG544)</f>
        <v>38669.509199999993</v>
      </c>
      <c r="AH545" s="71">
        <f>SUM(AH502:AH544)</f>
        <v>36949.509199999993</v>
      </c>
      <c r="AI545" s="40">
        <f>AH545</f>
        <v>36949.509199999993</v>
      </c>
      <c r="AJ545" s="104" t="e">
        <f>SUM(AJ502:AJ544)</f>
        <v>#REF!</v>
      </c>
      <c r="AK545" s="104" t="e">
        <f>SUM(AK502:AK544)</f>
        <v>#REF!</v>
      </c>
      <c r="AL545" s="104" t="e">
        <f>SUM(AL502:AL544)</f>
        <v>#REF!</v>
      </c>
      <c r="AM545" s="104" t="e">
        <f>SUM(AM502:AM544)</f>
        <v>#REF!</v>
      </c>
      <c r="AN545" s="106" t="e">
        <f>SUM(AJ545:AM545)</f>
        <v>#REF!</v>
      </c>
      <c r="AO545" s="104" t="e">
        <f>SUM(AO502:AO544)</f>
        <v>#REF!</v>
      </c>
      <c r="AP545" s="104" t="e">
        <f>SUM(AP502:AP544)</f>
        <v>#REF!</v>
      </c>
      <c r="AQ545" s="104" t="e">
        <f>SUM(AQ502:AQ544)</f>
        <v>#REF!</v>
      </c>
      <c r="AR545" s="104" t="e">
        <f>SUM(AR502:AR544)</f>
        <v>#REF!</v>
      </c>
      <c r="AS545" s="106" t="e">
        <f>SUM(AO545:AR545)</f>
        <v>#REF!</v>
      </c>
    </row>
    <row r="546" spans="1:45" ht="21" customHeight="1" x14ac:dyDescent="0.35">
      <c r="A546" s="105"/>
      <c r="B546" s="122">
        <v>2023</v>
      </c>
      <c r="C546" s="107"/>
      <c r="D546" s="107"/>
      <c r="E546" s="105"/>
      <c r="F546" s="105"/>
      <c r="G546" s="105"/>
      <c r="H546" s="108"/>
      <c r="I546" s="109"/>
      <c r="J546" s="109"/>
      <c r="K546" s="110"/>
      <c r="L546" s="110"/>
      <c r="M546" s="108"/>
      <c r="N546" s="111"/>
      <c r="O546" s="105"/>
      <c r="P546" s="112"/>
      <c r="Q546" s="113"/>
      <c r="R546" s="114"/>
      <c r="S546" s="115"/>
      <c r="T546" s="116"/>
      <c r="U546" s="117"/>
      <c r="V546" s="118"/>
      <c r="W546" s="118"/>
      <c r="X546" s="119"/>
      <c r="Y546" s="113"/>
      <c r="Z546" s="113"/>
      <c r="AA546" s="113"/>
      <c r="AB546" s="113"/>
      <c r="AC546" s="113"/>
      <c r="AD546" s="105"/>
      <c r="AE546" s="113"/>
      <c r="AF546" s="113"/>
      <c r="AG546" s="113"/>
      <c r="AH546" s="112"/>
      <c r="AI546" s="105"/>
      <c r="AJ546" s="96" t="e">
        <f>ROUNDUP(AJ545*0.05,0)</f>
        <v>#REF!</v>
      </c>
      <c r="AK546" s="96" t="e">
        <f>ROUNDUP(AK545*0.05,0)</f>
        <v>#REF!</v>
      </c>
      <c r="AL546" s="96" t="e">
        <f>ROUNDUP(AL545*0.05,0)</f>
        <v>#REF!</v>
      </c>
      <c r="AM546" s="96" t="e">
        <f>ROUNDUP(AM545*0.05,0)</f>
        <v>#REF!</v>
      </c>
      <c r="AN546" s="106" t="e">
        <f>SUM(AJ546:AM546)</f>
        <v>#REF!</v>
      </c>
      <c r="AO546" s="96" t="e">
        <f>ROUNDUP(AO545*0.06,0)</f>
        <v>#REF!</v>
      </c>
      <c r="AP546" s="96" t="e">
        <f>ROUNDUP(AP545*0.06,0)</f>
        <v>#REF!</v>
      </c>
      <c r="AQ546" s="96" t="e">
        <f>ROUNDUP(AQ545*0.06,0)</f>
        <v>#REF!</v>
      </c>
      <c r="AR546" s="96" t="e">
        <f>ROUNDUP(AR545*0.06,0)</f>
        <v>#REF!</v>
      </c>
      <c r="AS546" s="106" t="e">
        <f>SUM(AO546:AR546)</f>
        <v>#REF!</v>
      </c>
    </row>
    <row r="547" spans="1:45" ht="18.75" x14ac:dyDescent="0.35">
      <c r="B547" s="233"/>
      <c r="F547">
        <f>IF(E547=$B$12,I547,0)</f>
        <v>0</v>
      </c>
      <c r="G547">
        <f>IF(F547&gt;0,0,1)</f>
        <v>1</v>
      </c>
      <c r="I547" s="121"/>
      <c r="N547" s="4" t="s">
        <v>36</v>
      </c>
      <c r="P547" s="191">
        <v>0</v>
      </c>
      <c r="Q547" s="165">
        <v>0</v>
      </c>
      <c r="R547">
        <v>0</v>
      </c>
      <c r="S547" s="6"/>
      <c r="T547" s="61"/>
      <c r="U547" s="61">
        <f t="shared" ref="U547:U561" si="576">IF(V547=$AE$2,47,IF(V547=$AE$1,ROUND(((P547+500)*0.039),0),IF(V547=$AE$3,0)))</f>
        <v>0</v>
      </c>
      <c r="V547" s="7" t="str">
        <f t="shared" ref="V547:V557" si="577">IF(W547=1,$AE$2,IF(W547=2,$AE$1,IF(AND(W547&lt;&gt;1,W547&lt;&gt;20)=TRUE,$AE$3)))</f>
        <v>NONE</v>
      </c>
      <c r="W547" s="56"/>
      <c r="X547" s="5"/>
      <c r="Y547" s="61">
        <f t="shared" ref="Y547:Y588" si="578">R547+Q547</f>
        <v>0</v>
      </c>
      <c r="Z547" s="61"/>
      <c r="AA547" s="1">
        <f t="shared" ref="AA547:AA588" si="579">IF(X547=$AA$1,R547-500, IF(S547="SITE",R547, IF(X547="A/D/F1/500",R547, 0)))</f>
        <v>0</v>
      </c>
      <c r="AB547" s="1">
        <f t="shared" ref="AB547:AB557" si="580">IF(I547&gt;0,130,0)</f>
        <v>0</v>
      </c>
      <c r="AC547" s="1"/>
      <c r="AD547" s="65">
        <f t="shared" ref="AD547:AD557" si="581">(P547+U547)-AB547</f>
        <v>0</v>
      </c>
      <c r="AE547" s="1"/>
      <c r="AF547" s="1">
        <f t="shared" ref="AF547:AF557" si="582">IF(I547&gt;0,30*G547,0)</f>
        <v>0</v>
      </c>
      <c r="AG547" s="1">
        <f>IF(AH547&gt;0,AH417:AH547,0)</f>
        <v>0</v>
      </c>
      <c r="AH547" s="1">
        <f t="shared" ref="AH547:AH553" si="583">AD547-AF547</f>
        <v>0</v>
      </c>
      <c r="AJ547">
        <f t="shared" ref="AJ547:AJ553" si="584">IF(T547=1,P547-U547,0)</f>
        <v>0</v>
      </c>
      <c r="AK547">
        <f t="shared" ref="AK547:AK553" si="585">IF(T547=2,P547-U547,0)</f>
        <v>0</v>
      </c>
      <c r="AL547">
        <f t="shared" ref="AL547:AL553" si="586">IF(T547=3,P547-U547,0)</f>
        <v>0</v>
      </c>
      <c r="AM547">
        <f t="shared" ref="AM547:AM553" si="587">IF(T547=4,P547-U547,0)</f>
        <v>0</v>
      </c>
      <c r="AO547">
        <f t="shared" ref="AO547:AO553" si="588">IF(T547=1,P547-U547,0)</f>
        <v>0</v>
      </c>
      <c r="AP547">
        <f t="shared" ref="AP547:AP553" si="589">IF(T547=2,P547-U547,0)</f>
        <v>0</v>
      </c>
      <c r="AQ547">
        <f t="shared" ref="AQ547:AQ553" si="590">IF(T547=3,P547-U547,0)</f>
        <v>0</v>
      </c>
      <c r="AR547">
        <f t="shared" ref="AR547:AR553" si="591">IF(T547=4,P547-U547,0)</f>
        <v>0</v>
      </c>
    </row>
    <row r="548" spans="1:45" x14ac:dyDescent="0.25">
      <c r="B548" s="282" t="s">
        <v>1488</v>
      </c>
      <c r="C548" s="248" t="s">
        <v>1489</v>
      </c>
      <c r="D548" s="249"/>
      <c r="E548" s="248" t="s">
        <v>370</v>
      </c>
      <c r="F548" s="248"/>
      <c r="G548" s="248"/>
      <c r="H548" s="248" t="s">
        <v>1487</v>
      </c>
      <c r="I548" s="250">
        <v>10</v>
      </c>
      <c r="J548" s="248"/>
      <c r="K548" s="248"/>
      <c r="L548" s="248"/>
      <c r="M548" s="280"/>
      <c r="N548" s="4" t="s">
        <v>36</v>
      </c>
      <c r="P548" s="191">
        <v>4004.62</v>
      </c>
      <c r="Q548" s="165">
        <v>0</v>
      </c>
      <c r="R548">
        <v>0</v>
      </c>
      <c r="S548" s="6"/>
      <c r="T548" s="61"/>
      <c r="U548" s="61">
        <f t="shared" si="576"/>
        <v>0</v>
      </c>
      <c r="V548" s="7" t="str">
        <f t="shared" si="577"/>
        <v>NONE</v>
      </c>
      <c r="W548" s="56"/>
      <c r="X548" s="5"/>
      <c r="Y548" s="61">
        <f t="shared" si="578"/>
        <v>0</v>
      </c>
      <c r="Z548" s="61"/>
      <c r="AA548" s="1">
        <f t="shared" si="579"/>
        <v>0</v>
      </c>
      <c r="AB548" s="1">
        <f t="shared" si="580"/>
        <v>130</v>
      </c>
      <c r="AC548" s="1"/>
      <c r="AD548" s="65">
        <f t="shared" si="581"/>
        <v>3874.62</v>
      </c>
      <c r="AE548" s="1"/>
      <c r="AF548" s="1">
        <f t="shared" si="582"/>
        <v>0</v>
      </c>
      <c r="AG548" s="1">
        <f>IF(AH548&gt;0,AH401:AH548,0)</f>
        <v>3874.62</v>
      </c>
      <c r="AH548" s="1">
        <f t="shared" si="583"/>
        <v>3874.62</v>
      </c>
      <c r="AJ548">
        <f t="shared" si="584"/>
        <v>0</v>
      </c>
      <c r="AK548">
        <f t="shared" si="585"/>
        <v>0</v>
      </c>
      <c r="AL548">
        <f t="shared" si="586"/>
        <v>0</v>
      </c>
      <c r="AM548">
        <f t="shared" si="587"/>
        <v>0</v>
      </c>
      <c r="AO548">
        <f t="shared" si="588"/>
        <v>0</v>
      </c>
      <c r="AP548">
        <f t="shared" si="589"/>
        <v>0</v>
      </c>
      <c r="AQ548">
        <f t="shared" si="590"/>
        <v>0</v>
      </c>
      <c r="AR548">
        <f t="shared" si="591"/>
        <v>0</v>
      </c>
    </row>
    <row r="549" spans="1:45" x14ac:dyDescent="0.25">
      <c r="B549" s="83" t="s">
        <v>82</v>
      </c>
      <c r="C549" s="253"/>
      <c r="D549" s="253"/>
      <c r="E549" s="248" t="s">
        <v>42</v>
      </c>
      <c r="F549" s="248">
        <v>8</v>
      </c>
      <c r="G549" s="248">
        <v>0</v>
      </c>
      <c r="H549" s="248" t="s">
        <v>1441</v>
      </c>
      <c r="I549" s="250">
        <v>3</v>
      </c>
      <c r="J549" s="248"/>
      <c r="K549" s="248"/>
      <c r="L549" s="248"/>
      <c r="M549" s="280"/>
      <c r="N549" s="4" t="s">
        <v>36</v>
      </c>
      <c r="P549" s="191">
        <v>0</v>
      </c>
      <c r="Q549" s="165">
        <v>0</v>
      </c>
      <c r="R549">
        <v>0</v>
      </c>
      <c r="S549" s="6"/>
      <c r="T549" s="61"/>
      <c r="U549" s="61">
        <f t="shared" si="576"/>
        <v>0</v>
      </c>
      <c r="V549" s="7" t="str">
        <f t="shared" si="577"/>
        <v>NONE</v>
      </c>
      <c r="W549" s="56"/>
      <c r="X549" s="5"/>
      <c r="Y549" s="61">
        <f t="shared" si="578"/>
        <v>0</v>
      </c>
      <c r="Z549" s="61"/>
      <c r="AA549" s="1">
        <f t="shared" si="579"/>
        <v>0</v>
      </c>
      <c r="AB549" s="1">
        <f t="shared" si="580"/>
        <v>130</v>
      </c>
      <c r="AC549" s="1"/>
      <c r="AD549" s="65">
        <f t="shared" si="581"/>
        <v>-130</v>
      </c>
      <c r="AE549" s="1"/>
      <c r="AF549" s="1">
        <f t="shared" si="582"/>
        <v>0</v>
      </c>
      <c r="AG549" s="1">
        <f>IF(AH549&gt;0,AH403:AH549,0)</f>
        <v>0</v>
      </c>
      <c r="AH549" s="1">
        <f t="shared" si="583"/>
        <v>-130</v>
      </c>
      <c r="AJ549">
        <f t="shared" si="584"/>
        <v>0</v>
      </c>
      <c r="AK549">
        <f t="shared" si="585"/>
        <v>0</v>
      </c>
      <c r="AL549">
        <f t="shared" si="586"/>
        <v>0</v>
      </c>
      <c r="AM549">
        <f t="shared" si="587"/>
        <v>0</v>
      </c>
      <c r="AO549">
        <f t="shared" si="588"/>
        <v>0</v>
      </c>
      <c r="AP549">
        <f t="shared" si="589"/>
        <v>0</v>
      </c>
      <c r="AQ549">
        <f t="shared" si="590"/>
        <v>0</v>
      </c>
      <c r="AR549">
        <f t="shared" si="591"/>
        <v>0</v>
      </c>
    </row>
    <row r="550" spans="1:45" x14ac:dyDescent="0.25">
      <c r="B550" s="253"/>
      <c r="C550" s="248"/>
      <c r="D550" s="249"/>
      <c r="E550" s="287"/>
      <c r="F550" s="248"/>
      <c r="G550" s="248"/>
      <c r="H550" s="250"/>
      <c r="I550" s="250"/>
      <c r="J550" s="248"/>
      <c r="K550" s="248"/>
      <c r="L550" s="248"/>
      <c r="M550" s="280"/>
      <c r="N550" s="4" t="s">
        <v>36</v>
      </c>
      <c r="P550" s="191">
        <v>0</v>
      </c>
      <c r="Q550" s="165">
        <v>0</v>
      </c>
      <c r="R550">
        <v>0</v>
      </c>
      <c r="S550" s="6"/>
      <c r="T550" s="61"/>
      <c r="U550" s="61">
        <f>IF(V550=$AE$2,47,IF(V550=$AE$1,ROUND(((P550+500)*0.039),0),IF(V550=$AE$3,0)))</f>
        <v>0</v>
      </c>
      <c r="V550" s="7" t="str">
        <f>IF(W550=1,$AE$2,IF(W550=2,$AE$1,IF(AND(W550&lt;&gt;1,W550&lt;&gt;20)=TRUE,$AE$3)))</f>
        <v>NONE</v>
      </c>
      <c r="W550" s="56"/>
      <c r="X550" s="5"/>
      <c r="Y550" s="61">
        <f>R550+Q550</f>
        <v>0</v>
      </c>
      <c r="Z550" s="61"/>
      <c r="AA550" s="1">
        <f>IF(X550=$AA$1,R550-500, IF(S550="SITE",R550, IF(X550="A/D/F1/500",R550, 0)))</f>
        <v>0</v>
      </c>
      <c r="AB550" s="1">
        <f>IF(I550&gt;0,130,0)</f>
        <v>0</v>
      </c>
      <c r="AC550" s="1"/>
      <c r="AD550" s="65">
        <f>(P550+U550)-AB550</f>
        <v>0</v>
      </c>
      <c r="AE550" s="1"/>
      <c r="AF550" s="1">
        <f>IF(I550&gt;0,30*G550,0)</f>
        <v>0</v>
      </c>
      <c r="AG550" s="1">
        <f>IF(AH550&gt;0,AH401:AH563,0)</f>
        <v>0</v>
      </c>
      <c r="AH550" s="1">
        <f>AD550-AF550</f>
        <v>0</v>
      </c>
      <c r="AJ550">
        <f>IF(T550=1,P550-U550,0)</f>
        <v>0</v>
      </c>
      <c r="AK550">
        <f>IF(T550=2,P550-U550,0)</f>
        <v>0</v>
      </c>
      <c r="AL550">
        <f>IF(T550=3,P550-U550,0)</f>
        <v>0</v>
      </c>
      <c r="AM550">
        <f>IF(T550=4,P550-U550,0)</f>
        <v>0</v>
      </c>
      <c r="AO550">
        <f>IF(T550=1,P550-U550,0)</f>
        <v>0</v>
      </c>
      <c r="AP550">
        <f>IF(T550=2,P550-U550,0)</f>
        <v>0</v>
      </c>
      <c r="AQ550">
        <f>IF(T550=3,P550-U550,0)</f>
        <v>0</v>
      </c>
      <c r="AR550">
        <f>IF(T550=4,P550-U550,0)</f>
        <v>0</v>
      </c>
    </row>
    <row r="551" spans="1:45" x14ac:dyDescent="0.25">
      <c r="B551" s="340" t="s">
        <v>1411</v>
      </c>
      <c r="C551" s="105" t="s">
        <v>1443</v>
      </c>
      <c r="D551" s="341"/>
      <c r="E551" s="342" t="s">
        <v>899</v>
      </c>
      <c r="F551" s="105"/>
      <c r="G551" s="105"/>
      <c r="H551" s="105" t="s">
        <v>1451</v>
      </c>
      <c r="I551" s="340">
        <v>32</v>
      </c>
      <c r="J551" s="248"/>
      <c r="K551" s="248" t="s">
        <v>1461</v>
      </c>
      <c r="L551" s="248"/>
      <c r="M551" s="280"/>
      <c r="N551" s="4" t="s">
        <v>36</v>
      </c>
      <c r="P551" s="191">
        <v>10046.2592</v>
      </c>
      <c r="Q551" s="165">
        <v>0</v>
      </c>
      <c r="R551">
        <v>0</v>
      </c>
      <c r="S551" s="145" t="s">
        <v>1452</v>
      </c>
      <c r="T551" s="61"/>
      <c r="U551" s="61">
        <f t="shared" si="576"/>
        <v>0</v>
      </c>
      <c r="V551" s="7" t="str">
        <f t="shared" si="577"/>
        <v>NONE</v>
      </c>
      <c r="W551" s="56"/>
      <c r="X551" s="5"/>
      <c r="Y551" s="61">
        <f t="shared" si="578"/>
        <v>0</v>
      </c>
      <c r="Z551" s="61"/>
      <c r="AA551" s="1">
        <f t="shared" si="579"/>
        <v>0</v>
      </c>
      <c r="AB551" s="1">
        <f t="shared" si="580"/>
        <v>130</v>
      </c>
      <c r="AC551" s="1"/>
      <c r="AD551" s="65">
        <f t="shared" si="581"/>
        <v>9916.2592000000004</v>
      </c>
      <c r="AE551" s="1"/>
      <c r="AF551" s="1">
        <f t="shared" si="582"/>
        <v>0</v>
      </c>
      <c r="AG551" s="1">
        <f>IF(AH551&gt;0,AH402:AH564,0)</f>
        <v>9916.2592000000004</v>
      </c>
      <c r="AH551" s="1">
        <f t="shared" si="583"/>
        <v>9916.2592000000004</v>
      </c>
      <c r="AJ551">
        <f t="shared" si="584"/>
        <v>0</v>
      </c>
      <c r="AK551">
        <f t="shared" si="585"/>
        <v>0</v>
      </c>
      <c r="AL551">
        <f t="shared" si="586"/>
        <v>0</v>
      </c>
      <c r="AM551">
        <f t="shared" si="587"/>
        <v>0</v>
      </c>
      <c r="AO551">
        <f t="shared" si="588"/>
        <v>0</v>
      </c>
      <c r="AP551">
        <f t="shared" si="589"/>
        <v>0</v>
      </c>
      <c r="AQ551">
        <f t="shared" si="590"/>
        <v>0</v>
      </c>
      <c r="AR551">
        <f t="shared" si="591"/>
        <v>0</v>
      </c>
    </row>
    <row r="552" spans="1:45" x14ac:dyDescent="0.25">
      <c r="B552" s="250"/>
      <c r="C552" s="248"/>
      <c r="D552" s="249"/>
      <c r="E552" s="248"/>
      <c r="F552" s="248"/>
      <c r="G552" s="248"/>
      <c r="H552" s="248"/>
      <c r="I552" s="250"/>
      <c r="J552" s="248"/>
      <c r="K552" s="248"/>
      <c r="L552" s="248"/>
      <c r="M552" s="280"/>
      <c r="N552" s="4" t="s">
        <v>36</v>
      </c>
      <c r="P552" s="191">
        <v>0</v>
      </c>
      <c r="Q552" s="165">
        <v>0</v>
      </c>
      <c r="R552">
        <v>0</v>
      </c>
      <c r="S552" s="279"/>
      <c r="T552" s="314"/>
      <c r="U552" s="61">
        <f t="shared" si="576"/>
        <v>0</v>
      </c>
      <c r="V552" s="7" t="str">
        <f t="shared" si="577"/>
        <v>NONE</v>
      </c>
      <c r="W552" s="56"/>
      <c r="X552" s="5"/>
      <c r="Y552" s="61">
        <f t="shared" si="578"/>
        <v>0</v>
      </c>
      <c r="Z552" s="61"/>
      <c r="AA552" s="1">
        <f t="shared" si="579"/>
        <v>0</v>
      </c>
      <c r="AB552" s="1">
        <f t="shared" si="580"/>
        <v>0</v>
      </c>
      <c r="AC552" s="1"/>
      <c r="AD552" s="65">
        <f t="shared" si="581"/>
        <v>0</v>
      </c>
      <c r="AE552" s="1"/>
      <c r="AF552" s="1">
        <f t="shared" si="582"/>
        <v>0</v>
      </c>
      <c r="AG552" s="1">
        <f>IF(AH552&gt;0,AH403:AH552,0)</f>
        <v>0</v>
      </c>
      <c r="AH552" s="1">
        <f t="shared" si="583"/>
        <v>0</v>
      </c>
      <c r="AJ552">
        <f t="shared" si="584"/>
        <v>0</v>
      </c>
      <c r="AK552">
        <f t="shared" si="585"/>
        <v>0</v>
      </c>
      <c r="AL552">
        <f t="shared" si="586"/>
        <v>0</v>
      </c>
      <c r="AM552">
        <f t="shared" si="587"/>
        <v>0</v>
      </c>
      <c r="AO552">
        <f t="shared" si="588"/>
        <v>0</v>
      </c>
      <c r="AP552">
        <f t="shared" si="589"/>
        <v>0</v>
      </c>
      <c r="AQ552">
        <f t="shared" si="590"/>
        <v>0</v>
      </c>
      <c r="AR552">
        <f t="shared" si="591"/>
        <v>0</v>
      </c>
    </row>
    <row r="553" spans="1:45" ht="17.45" customHeight="1" x14ac:dyDescent="0.4">
      <c r="B553" s="83" t="s">
        <v>82</v>
      </c>
      <c r="D553" s="300"/>
      <c r="E553" s="248" t="s">
        <v>42</v>
      </c>
      <c r="F553" s="248"/>
      <c r="G553" s="248"/>
      <c r="H553" s="250" t="s">
        <v>1442</v>
      </c>
      <c r="I553" s="250">
        <v>4</v>
      </c>
      <c r="J553" s="248"/>
      <c r="K553" s="248"/>
      <c r="L553" s="248"/>
      <c r="M553" s="301"/>
      <c r="N553" s="4" t="s">
        <v>36</v>
      </c>
      <c r="P553" s="191">
        <v>0</v>
      </c>
      <c r="Q553" s="165">
        <v>0</v>
      </c>
      <c r="R553">
        <v>0</v>
      </c>
      <c r="S553" s="279"/>
      <c r="T553" s="314"/>
      <c r="U553" s="61">
        <f t="shared" si="576"/>
        <v>0</v>
      </c>
      <c r="V553" s="7" t="str">
        <f t="shared" si="577"/>
        <v>NONE</v>
      </c>
      <c r="W553" s="56"/>
      <c r="X553" s="5"/>
      <c r="Y553" s="61">
        <f t="shared" si="578"/>
        <v>0</v>
      </c>
      <c r="Z553" s="61"/>
      <c r="AA553" s="1">
        <f t="shared" si="579"/>
        <v>0</v>
      </c>
      <c r="AB553" s="1">
        <f t="shared" si="580"/>
        <v>130</v>
      </c>
      <c r="AC553" s="1"/>
      <c r="AD553" s="65">
        <f t="shared" si="581"/>
        <v>-130</v>
      </c>
      <c r="AE553" s="1"/>
      <c r="AF553" s="1">
        <f t="shared" si="582"/>
        <v>0</v>
      </c>
      <c r="AG553" s="1">
        <f>IF(AH553&gt;0,AH413:AH553,0)</f>
        <v>0</v>
      </c>
      <c r="AH553" s="1">
        <f t="shared" si="583"/>
        <v>-130</v>
      </c>
      <c r="AJ553">
        <f t="shared" si="584"/>
        <v>0</v>
      </c>
      <c r="AK553">
        <f t="shared" si="585"/>
        <v>0</v>
      </c>
      <c r="AL553">
        <f t="shared" si="586"/>
        <v>0</v>
      </c>
      <c r="AM553">
        <f t="shared" si="587"/>
        <v>0</v>
      </c>
      <c r="AO553">
        <f t="shared" si="588"/>
        <v>0</v>
      </c>
      <c r="AP553">
        <f t="shared" si="589"/>
        <v>0</v>
      </c>
      <c r="AQ553">
        <f t="shared" si="590"/>
        <v>0</v>
      </c>
      <c r="AR553">
        <f t="shared" si="591"/>
        <v>0</v>
      </c>
    </row>
    <row r="554" spans="1:45" x14ac:dyDescent="0.25">
      <c r="B554" s="253"/>
      <c r="C554" s="282"/>
      <c r="D554" s="254"/>
      <c r="E554" s="248"/>
      <c r="F554" s="248"/>
      <c r="G554" s="248"/>
      <c r="H554" s="248"/>
      <c r="I554" s="250"/>
      <c r="J554" s="248"/>
      <c r="K554" s="248"/>
      <c r="L554" s="248"/>
      <c r="M554" s="280"/>
      <c r="N554" s="4" t="s">
        <v>36</v>
      </c>
      <c r="P554" s="191">
        <v>0</v>
      </c>
      <c r="Q554" s="165">
        <v>0</v>
      </c>
      <c r="R554">
        <v>0</v>
      </c>
      <c r="S554" s="315"/>
      <c r="T554" s="314"/>
      <c r="U554" s="61">
        <f t="shared" si="576"/>
        <v>0</v>
      </c>
      <c r="V554" s="7" t="str">
        <f t="shared" si="577"/>
        <v>NONE</v>
      </c>
      <c r="W554" s="56"/>
      <c r="X554" s="5"/>
      <c r="Y554" s="61">
        <f t="shared" si="578"/>
        <v>0</v>
      </c>
      <c r="Z554" s="61"/>
      <c r="AA554" s="1">
        <f t="shared" si="579"/>
        <v>0</v>
      </c>
      <c r="AB554" s="1">
        <f t="shared" si="580"/>
        <v>0</v>
      </c>
      <c r="AC554" s="1"/>
      <c r="AD554" s="65">
        <f t="shared" si="581"/>
        <v>0</v>
      </c>
      <c r="AE554" s="1"/>
      <c r="AF554" s="1">
        <f t="shared" si="582"/>
        <v>0</v>
      </c>
      <c r="AG554" s="1">
        <f>IF(AH554&gt;0,AH392:AH554,0)</f>
        <v>0</v>
      </c>
      <c r="AH554" s="1">
        <f t="shared" ref="AH554:AH568" si="592">AD554-AF554</f>
        <v>0</v>
      </c>
      <c r="AJ554">
        <f t="shared" ref="AJ554:AJ568" si="593">IF(T554=1,P554-U554,0)</f>
        <v>0</v>
      </c>
      <c r="AK554">
        <f t="shared" ref="AK554:AK568" si="594">IF(T554=2,P554-U554,0)</f>
        <v>0</v>
      </c>
      <c r="AL554">
        <f t="shared" ref="AL554:AL568" si="595">IF(T554=3,P554-U554,0)</f>
        <v>0</v>
      </c>
      <c r="AM554">
        <f t="shared" ref="AM554:AM568" si="596">IF(T554=4,P554-U554,0)</f>
        <v>0</v>
      </c>
      <c r="AO554">
        <f t="shared" ref="AO554:AO568" si="597">IF(T554=1,P554-U554,0)</f>
        <v>0</v>
      </c>
      <c r="AP554">
        <f t="shared" ref="AP554:AP568" si="598">IF(T554=2,P554-U554,0)</f>
        <v>0</v>
      </c>
      <c r="AQ554">
        <f t="shared" ref="AQ554:AQ568" si="599">IF(T554=3,P554-U554,0)</f>
        <v>0</v>
      </c>
      <c r="AR554">
        <f t="shared" ref="AR554:AR568" si="600">IF(T554=4,P554-U554,0)</f>
        <v>0</v>
      </c>
    </row>
    <row r="555" spans="1:45" ht="16.5" x14ac:dyDescent="0.3">
      <c r="B555" s="344" t="s">
        <v>1456</v>
      </c>
      <c r="C555" s="345" t="s">
        <v>1457</v>
      </c>
      <c r="D555" s="105"/>
      <c r="E555" s="342"/>
      <c r="F555" s="105"/>
      <c r="G555" s="105"/>
      <c r="H555" s="105" t="s">
        <v>1490</v>
      </c>
      <c r="I555" s="340">
        <v>24</v>
      </c>
      <c r="J555" s="105"/>
      <c r="K555" s="105" t="s">
        <v>1458</v>
      </c>
      <c r="L555" s="248"/>
      <c r="M555" s="280"/>
      <c r="N555" s="4" t="s">
        <v>36</v>
      </c>
      <c r="P555" s="191">
        <f>7910.65+1385.28</f>
        <v>9295.93</v>
      </c>
      <c r="Q555" s="165">
        <v>0</v>
      </c>
      <c r="R555">
        <v>0</v>
      </c>
      <c r="S555" s="349" t="s">
        <v>1479</v>
      </c>
      <c r="T555" s="314"/>
      <c r="U555" s="61">
        <f t="shared" si="576"/>
        <v>0</v>
      </c>
      <c r="V555" s="7" t="str">
        <f t="shared" si="577"/>
        <v>NONE</v>
      </c>
      <c r="W555" s="56"/>
      <c r="X555" s="5"/>
      <c r="Y555" s="61">
        <f t="shared" si="578"/>
        <v>0</v>
      </c>
      <c r="Z555" s="61"/>
      <c r="AA555" s="1">
        <f t="shared" si="579"/>
        <v>0</v>
      </c>
      <c r="AB555" s="1">
        <f t="shared" si="580"/>
        <v>130</v>
      </c>
      <c r="AC555" s="1"/>
      <c r="AD555" s="65">
        <f t="shared" si="581"/>
        <v>9165.93</v>
      </c>
      <c r="AE555" s="1"/>
      <c r="AF555" s="1">
        <f t="shared" si="582"/>
        <v>0</v>
      </c>
      <c r="AG555" s="1">
        <f>IF(AH555&gt;0,AH404:AH555,0)</f>
        <v>9165.93</v>
      </c>
      <c r="AH555" s="1">
        <f t="shared" si="592"/>
        <v>9165.93</v>
      </c>
      <c r="AJ555">
        <f t="shared" si="593"/>
        <v>0</v>
      </c>
      <c r="AK555">
        <f t="shared" si="594"/>
        <v>0</v>
      </c>
      <c r="AL555">
        <f t="shared" si="595"/>
        <v>0</v>
      </c>
      <c r="AM555">
        <f t="shared" si="596"/>
        <v>0</v>
      </c>
      <c r="AO555">
        <f t="shared" si="597"/>
        <v>0</v>
      </c>
      <c r="AP555">
        <f t="shared" si="598"/>
        <v>0</v>
      </c>
      <c r="AQ555">
        <f t="shared" si="599"/>
        <v>0</v>
      </c>
      <c r="AR555">
        <f t="shared" si="600"/>
        <v>0</v>
      </c>
    </row>
    <row r="556" spans="1:45" x14ac:dyDescent="0.25">
      <c r="B556" s="302"/>
      <c r="C556" s="248"/>
      <c r="D556" s="248"/>
      <c r="E556" s="287"/>
      <c r="F556" s="248"/>
      <c r="G556" s="248"/>
      <c r="H556" s="250"/>
      <c r="I556" s="250"/>
      <c r="J556" s="248"/>
      <c r="K556" s="250"/>
      <c r="L556" s="248"/>
      <c r="M556" s="301"/>
      <c r="N556" s="4" t="s">
        <v>36</v>
      </c>
      <c r="P556" s="191">
        <v>0</v>
      </c>
      <c r="Q556" s="165">
        <v>0</v>
      </c>
      <c r="R556">
        <v>0</v>
      </c>
      <c r="S556" s="315"/>
      <c r="T556" s="314"/>
      <c r="U556" s="61">
        <f t="shared" si="576"/>
        <v>0</v>
      </c>
      <c r="V556" s="7" t="str">
        <f t="shared" si="577"/>
        <v>NONE</v>
      </c>
      <c r="W556" s="56"/>
      <c r="X556" s="5"/>
      <c r="Y556" s="61">
        <f t="shared" si="578"/>
        <v>0</v>
      </c>
      <c r="Z556" s="61"/>
      <c r="AA556" s="1">
        <f t="shared" si="579"/>
        <v>0</v>
      </c>
      <c r="AB556" s="1">
        <f t="shared" si="580"/>
        <v>0</v>
      </c>
      <c r="AC556" s="1"/>
      <c r="AD556" s="65">
        <f t="shared" si="581"/>
        <v>0</v>
      </c>
      <c r="AE556" s="1"/>
      <c r="AF556" s="1">
        <f t="shared" si="582"/>
        <v>0</v>
      </c>
      <c r="AG556" s="1">
        <f>IF(AH556&gt;0,AH406:AH568,0)</f>
        <v>0</v>
      </c>
      <c r="AH556" s="1">
        <f t="shared" si="592"/>
        <v>0</v>
      </c>
      <c r="AJ556">
        <f t="shared" si="593"/>
        <v>0</v>
      </c>
      <c r="AK556">
        <f t="shared" si="594"/>
        <v>0</v>
      </c>
      <c r="AL556">
        <f t="shared" si="595"/>
        <v>0</v>
      </c>
      <c r="AM556">
        <f t="shared" si="596"/>
        <v>0</v>
      </c>
      <c r="AO556">
        <f t="shared" si="597"/>
        <v>0</v>
      </c>
      <c r="AP556">
        <f t="shared" si="598"/>
        <v>0</v>
      </c>
      <c r="AQ556">
        <f t="shared" si="599"/>
        <v>0</v>
      </c>
      <c r="AR556">
        <f t="shared" si="600"/>
        <v>0</v>
      </c>
    </row>
    <row r="557" spans="1:45" ht="19.149999999999999" customHeight="1" x14ac:dyDescent="0.4">
      <c r="B557" s="238" t="s">
        <v>82</v>
      </c>
      <c r="C557" s="346" t="s">
        <v>1462</v>
      </c>
      <c r="D557" s="346"/>
      <c r="E557" s="238" t="s">
        <v>42</v>
      </c>
      <c r="F557" s="238"/>
      <c r="G557" s="238"/>
      <c r="H557" s="238" t="s">
        <v>1444</v>
      </c>
      <c r="I557" s="250">
        <v>2</v>
      </c>
      <c r="J557" s="248"/>
      <c r="K557" s="248"/>
      <c r="L557" s="248"/>
      <c r="M557" s="280"/>
      <c r="N557" s="4" t="s">
        <v>36</v>
      </c>
      <c r="P557" s="191">
        <v>0</v>
      </c>
      <c r="Q557" s="165">
        <v>0</v>
      </c>
      <c r="R557">
        <v>0</v>
      </c>
      <c r="S557" s="279"/>
      <c r="T557" s="314"/>
      <c r="U557" s="61">
        <f t="shared" si="576"/>
        <v>0</v>
      </c>
      <c r="V557" s="7" t="str">
        <f t="shared" si="577"/>
        <v>NONE</v>
      </c>
      <c r="W557" s="56"/>
      <c r="X557" s="5"/>
      <c r="Y557" s="61">
        <f t="shared" si="578"/>
        <v>0</v>
      </c>
      <c r="Z557" s="61"/>
      <c r="AA557" s="1">
        <f t="shared" si="579"/>
        <v>0</v>
      </c>
      <c r="AB557" s="1">
        <f t="shared" si="580"/>
        <v>130</v>
      </c>
      <c r="AC557" s="1"/>
      <c r="AD557" s="65">
        <f t="shared" si="581"/>
        <v>-130</v>
      </c>
      <c r="AE557" s="1"/>
      <c r="AF557" s="1">
        <f t="shared" si="582"/>
        <v>0</v>
      </c>
      <c r="AG557" s="1">
        <f>IF(AH557&gt;0,AH405:AH557,0)</f>
        <v>0</v>
      </c>
      <c r="AH557" s="1">
        <f t="shared" si="592"/>
        <v>-130</v>
      </c>
      <c r="AJ557">
        <f t="shared" si="593"/>
        <v>0</v>
      </c>
      <c r="AK557">
        <f t="shared" si="594"/>
        <v>0</v>
      </c>
      <c r="AL557">
        <f t="shared" si="595"/>
        <v>0</v>
      </c>
      <c r="AM557">
        <f t="shared" si="596"/>
        <v>0</v>
      </c>
      <c r="AO557">
        <f t="shared" si="597"/>
        <v>0</v>
      </c>
      <c r="AP557">
        <f t="shared" si="598"/>
        <v>0</v>
      </c>
      <c r="AQ557">
        <f t="shared" si="599"/>
        <v>0</v>
      </c>
      <c r="AR557">
        <f t="shared" si="600"/>
        <v>0</v>
      </c>
    </row>
    <row r="558" spans="1:45" x14ac:dyDescent="0.25">
      <c r="B558" s="94" t="s">
        <v>1460</v>
      </c>
      <c r="C558" s="94" t="s">
        <v>929</v>
      </c>
      <c r="D558" s="94"/>
      <c r="E558" s="94" t="s">
        <v>899</v>
      </c>
      <c r="F558" s="248"/>
      <c r="G558" s="248"/>
      <c r="H558" s="337" t="s">
        <v>1459</v>
      </c>
      <c r="I558" s="250">
        <v>16</v>
      </c>
      <c r="J558" s="304"/>
      <c r="K558" s="248" t="s">
        <v>1461</v>
      </c>
      <c r="L558" s="248"/>
      <c r="M558" s="278"/>
      <c r="N558" s="4" t="s">
        <v>36</v>
      </c>
      <c r="P558" s="191">
        <f>(4862+295)*1.11*0.9</f>
        <v>5151.8430000000008</v>
      </c>
      <c r="Q558" s="165">
        <v>0</v>
      </c>
      <c r="R558">
        <v>0</v>
      </c>
      <c r="S558" s="315" t="s">
        <v>1463</v>
      </c>
      <c r="T558" s="314"/>
      <c r="U558" s="61">
        <f t="shared" si="576"/>
        <v>0</v>
      </c>
      <c r="V558" s="7" t="str">
        <f t="shared" ref="V558:V568" si="601">IF(W558=1,$AE$2,IF(W558=2,$AE$1,IF(AND(W558&lt;&gt;1,W558&lt;&gt;20)=TRUE,$AE$3)))</f>
        <v>NONE</v>
      </c>
      <c r="W558" s="56"/>
      <c r="X558" s="5"/>
      <c r="Y558" s="61">
        <f t="shared" si="578"/>
        <v>0</v>
      </c>
      <c r="Z558" s="61"/>
      <c r="AA558" s="1">
        <f t="shared" si="579"/>
        <v>0</v>
      </c>
      <c r="AB558" s="1">
        <f t="shared" ref="AB558:AB568" si="602">IF(I558&gt;0,130,0)</f>
        <v>130</v>
      </c>
      <c r="AC558" s="1"/>
      <c r="AD558" s="65">
        <f t="shared" ref="AD558:AD568" si="603">(P558+U558)-AB558</f>
        <v>5021.8430000000008</v>
      </c>
      <c r="AE558" s="1"/>
      <c r="AF558" s="1">
        <f t="shared" ref="AF558:AF568" si="604">IF(I558&gt;0,30*G558,0)</f>
        <v>0</v>
      </c>
      <c r="AG558" s="1">
        <f>IF(AH558&gt;0,AH415:AH558,0)</f>
        <v>5021.8430000000008</v>
      </c>
      <c r="AH558" s="1">
        <f t="shared" si="592"/>
        <v>5021.8430000000008</v>
      </c>
      <c r="AJ558">
        <f t="shared" si="593"/>
        <v>0</v>
      </c>
      <c r="AK558">
        <f t="shared" si="594"/>
        <v>0</v>
      </c>
      <c r="AL558">
        <f t="shared" si="595"/>
        <v>0</v>
      </c>
      <c r="AM558">
        <f t="shared" si="596"/>
        <v>0</v>
      </c>
      <c r="AO558">
        <f t="shared" si="597"/>
        <v>0</v>
      </c>
      <c r="AP558">
        <f t="shared" si="598"/>
        <v>0</v>
      </c>
      <c r="AQ558">
        <f t="shared" si="599"/>
        <v>0</v>
      </c>
      <c r="AR558">
        <f t="shared" si="600"/>
        <v>0</v>
      </c>
    </row>
    <row r="559" spans="1:45" ht="16.5" x14ac:dyDescent="0.3">
      <c r="B559" s="251"/>
      <c r="C559" s="248"/>
      <c r="D559" s="248"/>
      <c r="E559" s="287"/>
      <c r="F559" s="248"/>
      <c r="G559" s="248"/>
      <c r="H559" s="248"/>
      <c r="I559" s="250"/>
      <c r="J559" s="248"/>
      <c r="K559" s="248"/>
      <c r="L559" s="248"/>
      <c r="M559" s="280"/>
      <c r="N559" s="4" t="s">
        <v>36</v>
      </c>
      <c r="P559" s="191">
        <v>0</v>
      </c>
      <c r="Q559" s="165">
        <v>0</v>
      </c>
      <c r="R559">
        <v>0</v>
      </c>
      <c r="S559" s="315"/>
      <c r="T559" s="314"/>
      <c r="U559" s="61">
        <f t="shared" si="576"/>
        <v>0</v>
      </c>
      <c r="V559" s="7" t="str">
        <f t="shared" si="601"/>
        <v>NONE</v>
      </c>
      <c r="W559" s="56"/>
      <c r="X559" s="5"/>
      <c r="Y559" s="61">
        <f t="shared" si="578"/>
        <v>0</v>
      </c>
      <c r="Z559" s="61"/>
      <c r="AA559" s="1">
        <f t="shared" si="579"/>
        <v>0</v>
      </c>
      <c r="AB559" s="1">
        <f t="shared" si="602"/>
        <v>0</v>
      </c>
      <c r="AC559" s="1"/>
      <c r="AD559" s="65">
        <f t="shared" si="603"/>
        <v>0</v>
      </c>
      <c r="AE559" s="1"/>
      <c r="AF559" s="1">
        <f t="shared" si="604"/>
        <v>0</v>
      </c>
      <c r="AG559" s="1">
        <f>IF(AH559&gt;0,AH407:AH559,0)</f>
        <v>0</v>
      </c>
      <c r="AH559" s="1">
        <f t="shared" si="592"/>
        <v>0</v>
      </c>
      <c r="AJ559">
        <f t="shared" si="593"/>
        <v>0</v>
      </c>
      <c r="AK559">
        <f t="shared" si="594"/>
        <v>0</v>
      </c>
      <c r="AL559">
        <f t="shared" si="595"/>
        <v>0</v>
      </c>
      <c r="AM559">
        <f t="shared" si="596"/>
        <v>0</v>
      </c>
      <c r="AO559">
        <f t="shared" si="597"/>
        <v>0</v>
      </c>
      <c r="AP559">
        <f t="shared" si="598"/>
        <v>0</v>
      </c>
      <c r="AQ559">
        <f t="shared" si="599"/>
        <v>0</v>
      </c>
      <c r="AR559">
        <f t="shared" si="600"/>
        <v>0</v>
      </c>
    </row>
    <row r="560" spans="1:45" ht="14.1" customHeight="1" x14ac:dyDescent="0.4">
      <c r="B560" s="83" t="s">
        <v>82</v>
      </c>
      <c r="C560" s="300"/>
      <c r="D560" s="300"/>
      <c r="E560" s="248" t="s">
        <v>42</v>
      </c>
      <c r="F560" s="248"/>
      <c r="G560" s="248"/>
      <c r="H560" s="303" t="s">
        <v>1445</v>
      </c>
      <c r="I560" s="250"/>
      <c r="J560" s="248"/>
      <c r="K560" s="248"/>
      <c r="L560" s="248"/>
      <c r="M560" s="280"/>
      <c r="N560" s="4" t="s">
        <v>36</v>
      </c>
      <c r="P560" s="191">
        <v>0</v>
      </c>
      <c r="Q560" s="165">
        <v>0</v>
      </c>
      <c r="R560">
        <v>0</v>
      </c>
      <c r="S560" s="6"/>
      <c r="T560" s="61"/>
      <c r="U560" s="61">
        <f t="shared" si="576"/>
        <v>0</v>
      </c>
      <c r="V560" s="7" t="str">
        <f t="shared" si="601"/>
        <v>NONE</v>
      </c>
      <c r="W560" s="56"/>
      <c r="X560" s="5"/>
      <c r="Y560" s="61">
        <f t="shared" si="578"/>
        <v>0</v>
      </c>
      <c r="Z560" s="61"/>
      <c r="AA560" s="1">
        <f t="shared" si="579"/>
        <v>0</v>
      </c>
      <c r="AB560" s="1">
        <f t="shared" si="602"/>
        <v>0</v>
      </c>
      <c r="AC560" s="1"/>
      <c r="AD560" s="65">
        <f t="shared" si="603"/>
        <v>0</v>
      </c>
      <c r="AE560" s="1"/>
      <c r="AF560" s="1">
        <f t="shared" si="604"/>
        <v>0</v>
      </c>
      <c r="AG560" s="1">
        <f>IF(AH560&gt;0,AH409:AH579,0)</f>
        <v>0</v>
      </c>
      <c r="AH560" s="1">
        <f t="shared" si="592"/>
        <v>0</v>
      </c>
      <c r="AJ560">
        <f t="shared" si="593"/>
        <v>0</v>
      </c>
      <c r="AK560">
        <f t="shared" si="594"/>
        <v>0</v>
      </c>
      <c r="AL560">
        <f t="shared" si="595"/>
        <v>0</v>
      </c>
      <c r="AM560">
        <f t="shared" si="596"/>
        <v>0</v>
      </c>
      <c r="AO560">
        <f t="shared" si="597"/>
        <v>0</v>
      </c>
      <c r="AP560">
        <f t="shared" si="598"/>
        <v>0</v>
      </c>
      <c r="AQ560">
        <f t="shared" si="599"/>
        <v>0</v>
      </c>
      <c r="AR560">
        <f t="shared" si="600"/>
        <v>0</v>
      </c>
    </row>
    <row r="561" spans="2:44" x14ac:dyDescent="0.25">
      <c r="B561" s="104" t="s">
        <v>1481</v>
      </c>
      <c r="C561" s="355" t="s">
        <v>1483</v>
      </c>
      <c r="D561" s="356"/>
      <c r="E561" s="357" t="s">
        <v>370</v>
      </c>
      <c r="F561" s="104"/>
      <c r="G561" s="104"/>
      <c r="H561" s="104" t="s">
        <v>1484</v>
      </c>
      <c r="I561" s="357">
        <v>7</v>
      </c>
      <c r="J561" s="104"/>
      <c r="K561" s="104" t="s">
        <v>1482</v>
      </c>
      <c r="L561" s="248"/>
      <c r="M561" s="280"/>
      <c r="N561" s="4" t="s">
        <v>36</v>
      </c>
      <c r="P561" s="191">
        <f>2484.17+709.76</f>
        <v>3193.9300000000003</v>
      </c>
      <c r="Q561" s="165">
        <f>P561</f>
        <v>3193.9300000000003</v>
      </c>
      <c r="R561" s="65">
        <f>P561-Q561-0.001</f>
        <v>-1E-3</v>
      </c>
      <c r="S561" s="309" t="s">
        <v>1345</v>
      </c>
      <c r="T561" s="61"/>
      <c r="U561" s="61">
        <f t="shared" si="576"/>
        <v>0</v>
      </c>
      <c r="V561" s="7" t="str">
        <f t="shared" si="601"/>
        <v>NONE</v>
      </c>
      <c r="W561" s="56"/>
      <c r="X561" s="5"/>
      <c r="Y561" s="61">
        <f t="shared" si="578"/>
        <v>3193.9290000000001</v>
      </c>
      <c r="Z561" s="61"/>
      <c r="AA561" s="1">
        <f t="shared" si="579"/>
        <v>0</v>
      </c>
      <c r="AB561" s="1">
        <f t="shared" si="602"/>
        <v>130</v>
      </c>
      <c r="AC561" s="1"/>
      <c r="AD561" s="65">
        <f t="shared" si="603"/>
        <v>3063.9300000000003</v>
      </c>
      <c r="AE561" s="1"/>
      <c r="AF561" s="1">
        <f t="shared" si="604"/>
        <v>0</v>
      </c>
      <c r="AG561" s="1">
        <f>IF(AH561&gt;0,AH410:AH561,0)</f>
        <v>3063.9300000000003</v>
      </c>
      <c r="AH561" s="1">
        <f t="shared" si="592"/>
        <v>3063.9300000000003</v>
      </c>
      <c r="AJ561">
        <f t="shared" si="593"/>
        <v>0</v>
      </c>
      <c r="AK561">
        <f t="shared" si="594"/>
        <v>0</v>
      </c>
      <c r="AL561">
        <f t="shared" si="595"/>
        <v>0</v>
      </c>
      <c r="AM561">
        <f t="shared" si="596"/>
        <v>0</v>
      </c>
      <c r="AO561">
        <f t="shared" si="597"/>
        <v>0</v>
      </c>
      <c r="AP561">
        <f t="shared" si="598"/>
        <v>0</v>
      </c>
      <c r="AQ561">
        <f t="shared" si="599"/>
        <v>0</v>
      </c>
      <c r="AR561">
        <f t="shared" si="600"/>
        <v>0</v>
      </c>
    </row>
    <row r="562" spans="2:44" x14ac:dyDescent="0.25">
      <c r="B562" s="253"/>
      <c r="C562" s="248"/>
      <c r="D562" s="248"/>
      <c r="E562" s="248"/>
      <c r="F562" s="248"/>
      <c r="G562" s="248"/>
      <c r="H562" s="278"/>
      <c r="I562" s="250"/>
      <c r="J562" s="304"/>
      <c r="K562" s="248"/>
      <c r="L562" s="248"/>
      <c r="M562" s="330"/>
      <c r="N562" s="4" t="s">
        <v>36</v>
      </c>
      <c r="P562" s="191">
        <v>0</v>
      </c>
      <c r="Q562" s="165">
        <v>0</v>
      </c>
      <c r="R562">
        <v>0</v>
      </c>
      <c r="S562" s="6"/>
      <c r="T562" s="61"/>
      <c r="U562" s="61">
        <f t="shared" ref="U562:U568" si="605">IF(V562=$AE$2,47,IF(V562=$AE$1,ROUND(((P562+500)*0.039),0),IF(V562=$AE$3,0)))</f>
        <v>0</v>
      </c>
      <c r="V562" s="7" t="str">
        <f t="shared" si="601"/>
        <v>NONE</v>
      </c>
      <c r="W562" s="56"/>
      <c r="X562" s="5"/>
      <c r="Y562" s="61">
        <f t="shared" si="578"/>
        <v>0</v>
      </c>
      <c r="Z562" s="61"/>
      <c r="AA562" s="1">
        <f t="shared" si="579"/>
        <v>0</v>
      </c>
      <c r="AB562" s="1">
        <f t="shared" si="602"/>
        <v>0</v>
      </c>
      <c r="AC562" s="1"/>
      <c r="AD562" s="65">
        <f t="shared" si="603"/>
        <v>0</v>
      </c>
      <c r="AE562" s="1"/>
      <c r="AF562" s="1">
        <f t="shared" si="604"/>
        <v>0</v>
      </c>
      <c r="AG562" s="1">
        <f>IF(AH562&gt;0,AH416:AH562,0)</f>
        <v>0</v>
      </c>
      <c r="AH562" s="1">
        <f t="shared" si="592"/>
        <v>0</v>
      </c>
      <c r="AJ562">
        <f t="shared" si="593"/>
        <v>0</v>
      </c>
      <c r="AK562">
        <f t="shared" si="594"/>
        <v>0</v>
      </c>
      <c r="AL562">
        <f t="shared" si="595"/>
        <v>0</v>
      </c>
      <c r="AM562">
        <f t="shared" si="596"/>
        <v>0</v>
      </c>
      <c r="AO562">
        <f t="shared" si="597"/>
        <v>0</v>
      </c>
      <c r="AP562">
        <f t="shared" si="598"/>
        <v>0</v>
      </c>
      <c r="AQ562">
        <f t="shared" si="599"/>
        <v>0</v>
      </c>
      <c r="AR562">
        <f t="shared" si="600"/>
        <v>0</v>
      </c>
    </row>
    <row r="563" spans="2:44" x14ac:dyDescent="0.25">
      <c r="B563" s="83" t="s">
        <v>82</v>
      </c>
      <c r="C563" s="248"/>
      <c r="D563" s="249"/>
      <c r="E563" s="248"/>
      <c r="F563" s="248"/>
      <c r="G563" s="248"/>
      <c r="H563" s="253" t="s">
        <v>1446</v>
      </c>
      <c r="I563" s="250"/>
      <c r="J563" s="248"/>
      <c r="K563" s="248"/>
      <c r="L563" s="248"/>
      <c r="M563" s="301"/>
      <c r="N563" s="4" t="s">
        <v>36</v>
      </c>
      <c r="P563" s="191">
        <v>0</v>
      </c>
      <c r="Q563" s="165">
        <v>0</v>
      </c>
      <c r="R563">
        <v>0</v>
      </c>
      <c r="S563" s="6"/>
      <c r="T563" s="61"/>
      <c r="U563" s="61">
        <f t="shared" si="605"/>
        <v>0</v>
      </c>
      <c r="V563" s="7" t="str">
        <f t="shared" si="601"/>
        <v>NONE</v>
      </c>
      <c r="W563" s="56"/>
      <c r="X563" s="5"/>
      <c r="Y563" s="61">
        <f t="shared" si="578"/>
        <v>0</v>
      </c>
      <c r="Z563" s="61"/>
      <c r="AA563" s="1">
        <f t="shared" si="579"/>
        <v>0</v>
      </c>
      <c r="AB563" s="1">
        <f t="shared" si="602"/>
        <v>0</v>
      </c>
      <c r="AC563" s="1"/>
      <c r="AD563" s="65">
        <f t="shared" si="603"/>
        <v>0</v>
      </c>
      <c r="AE563" s="1"/>
      <c r="AF563" s="1">
        <f t="shared" si="604"/>
        <v>0</v>
      </c>
      <c r="AG563" s="1">
        <f>IF(AH563&gt;0,AH412:AH563,0)</f>
        <v>0</v>
      </c>
      <c r="AH563" s="1">
        <f t="shared" si="592"/>
        <v>0</v>
      </c>
      <c r="AJ563">
        <f t="shared" si="593"/>
        <v>0</v>
      </c>
      <c r="AK563">
        <f t="shared" si="594"/>
        <v>0</v>
      </c>
      <c r="AL563">
        <f t="shared" si="595"/>
        <v>0</v>
      </c>
      <c r="AM563">
        <f t="shared" si="596"/>
        <v>0</v>
      </c>
      <c r="AO563">
        <f t="shared" si="597"/>
        <v>0</v>
      </c>
      <c r="AP563">
        <f t="shared" si="598"/>
        <v>0</v>
      </c>
      <c r="AQ563">
        <f t="shared" si="599"/>
        <v>0</v>
      </c>
      <c r="AR563">
        <f t="shared" si="600"/>
        <v>0</v>
      </c>
    </row>
    <row r="564" spans="2:44" x14ac:dyDescent="0.25">
      <c r="B564" s="248"/>
      <c r="C564" s="248"/>
      <c r="D564" s="248"/>
      <c r="E564" s="248"/>
      <c r="F564" s="248"/>
      <c r="G564" s="248"/>
      <c r="H564" s="248"/>
      <c r="I564" s="250"/>
      <c r="J564" s="248"/>
      <c r="K564" s="248"/>
      <c r="L564" s="248"/>
      <c r="M564" s="280"/>
      <c r="N564" s="4" t="s">
        <v>36</v>
      </c>
      <c r="P564" s="191">
        <v>0</v>
      </c>
      <c r="Q564" s="165">
        <v>0</v>
      </c>
      <c r="R564">
        <v>0</v>
      </c>
      <c r="S564" s="6"/>
      <c r="T564" s="61"/>
      <c r="U564" s="61">
        <f t="shared" si="605"/>
        <v>0</v>
      </c>
      <c r="V564" s="7" t="str">
        <f t="shared" si="601"/>
        <v>NONE</v>
      </c>
      <c r="W564" s="56"/>
      <c r="X564" s="5"/>
      <c r="Y564" s="61">
        <f t="shared" si="578"/>
        <v>0</v>
      </c>
      <c r="Z564" s="61"/>
      <c r="AA564" s="1">
        <f t="shared" si="579"/>
        <v>0</v>
      </c>
      <c r="AB564" s="1">
        <f t="shared" si="602"/>
        <v>0</v>
      </c>
      <c r="AC564" s="1"/>
      <c r="AD564" s="65">
        <f t="shared" si="603"/>
        <v>0</v>
      </c>
      <c r="AE564" s="1"/>
      <c r="AF564" s="1">
        <f t="shared" si="604"/>
        <v>0</v>
      </c>
      <c r="AG564" s="1">
        <f>IF(AH564&gt;0,AH412:AH581,0)</f>
        <v>0</v>
      </c>
      <c r="AH564" s="1">
        <f t="shared" si="592"/>
        <v>0</v>
      </c>
      <c r="AJ564">
        <f t="shared" si="593"/>
        <v>0</v>
      </c>
      <c r="AK564">
        <f t="shared" si="594"/>
        <v>0</v>
      </c>
      <c r="AL564">
        <f t="shared" si="595"/>
        <v>0</v>
      </c>
      <c r="AM564">
        <f t="shared" si="596"/>
        <v>0</v>
      </c>
      <c r="AO564">
        <f t="shared" si="597"/>
        <v>0</v>
      </c>
      <c r="AP564">
        <f t="shared" si="598"/>
        <v>0</v>
      </c>
      <c r="AQ564">
        <f t="shared" si="599"/>
        <v>0</v>
      </c>
      <c r="AR564">
        <f t="shared" si="600"/>
        <v>0</v>
      </c>
    </row>
    <row r="565" spans="2:44" x14ac:dyDescent="0.25">
      <c r="B565" s="253"/>
      <c r="C565" s="253"/>
      <c r="D565" s="253"/>
      <c r="E565" s="248"/>
      <c r="F565" s="248"/>
      <c r="G565" s="248"/>
      <c r="H565" s="252"/>
      <c r="I565" s="250"/>
      <c r="J565" s="248"/>
      <c r="K565" s="248"/>
      <c r="L565" s="248"/>
      <c r="M565" s="280"/>
      <c r="N565" s="4" t="s">
        <v>36</v>
      </c>
      <c r="P565" s="191">
        <v>0</v>
      </c>
      <c r="Q565" s="165">
        <v>0</v>
      </c>
      <c r="R565">
        <v>0</v>
      </c>
      <c r="S565" s="6"/>
      <c r="T565" s="61"/>
      <c r="U565" s="61">
        <f t="shared" si="605"/>
        <v>0</v>
      </c>
      <c r="V565" s="7" t="str">
        <f t="shared" si="601"/>
        <v>NONE</v>
      </c>
      <c r="W565" s="56"/>
      <c r="X565" s="5"/>
      <c r="Y565" s="61">
        <f t="shared" si="578"/>
        <v>0</v>
      </c>
      <c r="Z565" s="61"/>
      <c r="AA565" s="1">
        <f t="shared" si="579"/>
        <v>0</v>
      </c>
      <c r="AB565" s="1">
        <f t="shared" si="602"/>
        <v>0</v>
      </c>
      <c r="AC565" s="1"/>
      <c r="AD565" s="65">
        <f t="shared" si="603"/>
        <v>0</v>
      </c>
      <c r="AE565" s="1"/>
      <c r="AF565" s="1">
        <f t="shared" si="604"/>
        <v>0</v>
      </c>
      <c r="AG565" s="1">
        <f>IF(AH565&gt;0,AH409:AH565,0)</f>
        <v>0</v>
      </c>
      <c r="AH565" s="1">
        <f t="shared" si="592"/>
        <v>0</v>
      </c>
      <c r="AJ565">
        <f t="shared" si="593"/>
        <v>0</v>
      </c>
      <c r="AK565">
        <f t="shared" si="594"/>
        <v>0</v>
      </c>
      <c r="AL565">
        <f t="shared" si="595"/>
        <v>0</v>
      </c>
      <c r="AM565">
        <f t="shared" si="596"/>
        <v>0</v>
      </c>
      <c r="AO565">
        <f t="shared" si="597"/>
        <v>0</v>
      </c>
      <c r="AP565">
        <f t="shared" si="598"/>
        <v>0</v>
      </c>
      <c r="AQ565">
        <f t="shared" si="599"/>
        <v>0</v>
      </c>
      <c r="AR565">
        <f t="shared" si="600"/>
        <v>0</v>
      </c>
    </row>
    <row r="566" spans="2:44" x14ac:dyDescent="0.25">
      <c r="B566" s="83" t="s">
        <v>82</v>
      </c>
      <c r="C566" s="305"/>
      <c r="D566" s="306"/>
      <c r="E566" s="248"/>
      <c r="F566" s="248"/>
      <c r="G566" s="248"/>
      <c r="H566" s="250" t="s">
        <v>1447</v>
      </c>
      <c r="I566" s="250"/>
      <c r="J566" s="248"/>
      <c r="K566" s="248"/>
      <c r="L566" s="248"/>
      <c r="M566" s="280"/>
      <c r="N566" s="4" t="s">
        <v>36</v>
      </c>
      <c r="P566" s="191">
        <v>0</v>
      </c>
      <c r="Q566" s="165">
        <v>0</v>
      </c>
      <c r="R566">
        <v>0</v>
      </c>
      <c r="S566" s="6"/>
      <c r="T566" s="61"/>
      <c r="U566" s="61">
        <f t="shared" si="605"/>
        <v>0</v>
      </c>
      <c r="V566" s="7" t="str">
        <f t="shared" si="601"/>
        <v>NONE</v>
      </c>
      <c r="W566" s="56"/>
      <c r="X566" s="87"/>
      <c r="Y566" s="61">
        <f t="shared" si="578"/>
        <v>0</v>
      </c>
      <c r="Z566" s="61"/>
      <c r="AA566" s="1">
        <f t="shared" si="579"/>
        <v>0</v>
      </c>
      <c r="AB566" s="1">
        <f t="shared" si="602"/>
        <v>0</v>
      </c>
      <c r="AC566" s="1"/>
      <c r="AD566" s="65">
        <f t="shared" si="603"/>
        <v>0</v>
      </c>
      <c r="AE566" s="1"/>
      <c r="AF566" s="1">
        <f t="shared" si="604"/>
        <v>0</v>
      </c>
      <c r="AG566" s="1">
        <f>IF(AH566&gt;0,AH409:AH577,0)</f>
        <v>0</v>
      </c>
      <c r="AH566" s="1">
        <f t="shared" si="592"/>
        <v>0</v>
      </c>
      <c r="AJ566">
        <f t="shared" si="593"/>
        <v>0</v>
      </c>
      <c r="AK566">
        <f t="shared" si="594"/>
        <v>0</v>
      </c>
      <c r="AL566">
        <f t="shared" si="595"/>
        <v>0</v>
      </c>
      <c r="AM566">
        <f t="shared" si="596"/>
        <v>0</v>
      </c>
      <c r="AO566">
        <f t="shared" si="597"/>
        <v>0</v>
      </c>
      <c r="AP566">
        <f t="shared" si="598"/>
        <v>0</v>
      </c>
      <c r="AQ566">
        <f t="shared" si="599"/>
        <v>0</v>
      </c>
      <c r="AR566">
        <f t="shared" si="600"/>
        <v>0</v>
      </c>
    </row>
    <row r="567" spans="2:44" x14ac:dyDescent="0.25">
      <c r="B567" s="248"/>
      <c r="C567" s="253"/>
      <c r="D567" s="253"/>
      <c r="E567" s="248"/>
      <c r="F567" s="248"/>
      <c r="G567" s="248"/>
      <c r="H567" s="248"/>
      <c r="I567" s="250"/>
      <c r="J567" s="248"/>
      <c r="K567" s="248"/>
      <c r="L567" s="248"/>
      <c r="M567" s="280"/>
      <c r="N567" s="4" t="s">
        <v>36</v>
      </c>
      <c r="P567" s="191">
        <v>0</v>
      </c>
      <c r="Q567" s="165">
        <v>0</v>
      </c>
      <c r="R567">
        <v>0</v>
      </c>
      <c r="S567" s="6"/>
      <c r="T567" s="61"/>
      <c r="U567" s="61">
        <f t="shared" si="605"/>
        <v>0</v>
      </c>
      <c r="V567" s="7" t="str">
        <f t="shared" si="601"/>
        <v>NONE</v>
      </c>
      <c r="W567" s="56"/>
      <c r="X567" s="5"/>
      <c r="Y567" s="61">
        <f t="shared" si="578"/>
        <v>0</v>
      </c>
      <c r="Z567" s="61"/>
      <c r="AA567" s="1">
        <f t="shared" si="579"/>
        <v>0</v>
      </c>
      <c r="AB567" s="1">
        <f t="shared" si="602"/>
        <v>0</v>
      </c>
      <c r="AC567" s="1"/>
      <c r="AD567" s="65">
        <f t="shared" si="603"/>
        <v>0</v>
      </c>
      <c r="AE567" s="1"/>
      <c r="AF567" s="1">
        <f t="shared" si="604"/>
        <v>0</v>
      </c>
      <c r="AG567" s="1">
        <f>IF(AH567&gt;0,AH412:AH567,0)</f>
        <v>0</v>
      </c>
      <c r="AH567" s="1">
        <f t="shared" si="592"/>
        <v>0</v>
      </c>
      <c r="AJ567">
        <f t="shared" si="593"/>
        <v>0</v>
      </c>
      <c r="AK567">
        <f t="shared" si="594"/>
        <v>0</v>
      </c>
      <c r="AL567">
        <f t="shared" si="595"/>
        <v>0</v>
      </c>
      <c r="AM567">
        <f t="shared" si="596"/>
        <v>0</v>
      </c>
      <c r="AO567">
        <f t="shared" si="597"/>
        <v>0</v>
      </c>
      <c r="AP567">
        <f t="shared" si="598"/>
        <v>0</v>
      </c>
      <c r="AQ567">
        <f t="shared" si="599"/>
        <v>0</v>
      </c>
      <c r="AR567">
        <f t="shared" si="600"/>
        <v>0</v>
      </c>
    </row>
    <row r="568" spans="2:44" x14ac:dyDescent="0.25">
      <c r="B568" s="83" t="s">
        <v>82</v>
      </c>
      <c r="C568" s="307"/>
      <c r="D568" s="307"/>
      <c r="E568" s="248"/>
      <c r="F568" s="248"/>
      <c r="G568" s="248"/>
      <c r="H568" s="248" t="s">
        <v>1448</v>
      </c>
      <c r="I568" s="250"/>
      <c r="J568" s="248"/>
      <c r="K568" s="248"/>
      <c r="L568" s="248"/>
      <c r="M568" s="278"/>
      <c r="N568" s="4" t="s">
        <v>36</v>
      </c>
      <c r="P568" s="191">
        <v>0</v>
      </c>
      <c r="Q568" s="165">
        <v>0</v>
      </c>
      <c r="R568">
        <v>0</v>
      </c>
      <c r="S568" s="6"/>
      <c r="T568" s="61"/>
      <c r="U568" s="61">
        <f t="shared" si="605"/>
        <v>0</v>
      </c>
      <c r="V568" s="7" t="str">
        <f t="shared" si="601"/>
        <v>NONE</v>
      </c>
      <c r="W568" s="56"/>
      <c r="X568" s="5"/>
      <c r="Y568" s="61">
        <f t="shared" si="578"/>
        <v>0</v>
      </c>
      <c r="Z568" s="61"/>
      <c r="AA568" s="1">
        <f t="shared" si="579"/>
        <v>0</v>
      </c>
      <c r="AB568" s="1">
        <f t="shared" si="602"/>
        <v>0</v>
      </c>
      <c r="AC568" s="1"/>
      <c r="AD568" s="65">
        <f t="shared" si="603"/>
        <v>0</v>
      </c>
      <c r="AE568" s="1"/>
      <c r="AF568" s="1">
        <f t="shared" si="604"/>
        <v>0</v>
      </c>
      <c r="AG568" s="1">
        <f>IF(AH568&gt;0,AH414:AH568,0)</f>
        <v>0</v>
      </c>
      <c r="AH568" s="1">
        <f t="shared" si="592"/>
        <v>0</v>
      </c>
      <c r="AJ568">
        <f t="shared" si="593"/>
        <v>0</v>
      </c>
      <c r="AK568">
        <f t="shared" si="594"/>
        <v>0</v>
      </c>
      <c r="AL568">
        <f t="shared" si="595"/>
        <v>0</v>
      </c>
      <c r="AM568">
        <f t="shared" si="596"/>
        <v>0</v>
      </c>
      <c r="AO568">
        <f t="shared" si="597"/>
        <v>0</v>
      </c>
      <c r="AP568">
        <f t="shared" si="598"/>
        <v>0</v>
      </c>
      <c r="AQ568">
        <f t="shared" si="599"/>
        <v>0</v>
      </c>
      <c r="AR568">
        <f t="shared" si="600"/>
        <v>0</v>
      </c>
    </row>
    <row r="569" spans="2:44" x14ac:dyDescent="0.25">
      <c r="B569" s="253"/>
      <c r="C569" s="253"/>
      <c r="D569" s="253"/>
      <c r="E569" s="248"/>
      <c r="F569" s="248"/>
      <c r="G569" s="248"/>
      <c r="H569" s="248"/>
      <c r="I569" s="250"/>
      <c r="J569" s="248"/>
      <c r="K569" s="248"/>
      <c r="L569" s="248"/>
      <c r="M569" s="280"/>
      <c r="N569" s="4" t="s">
        <v>36</v>
      </c>
      <c r="P569" s="191">
        <v>0</v>
      </c>
      <c r="Q569" s="165">
        <v>0</v>
      </c>
      <c r="R569">
        <v>0</v>
      </c>
      <c r="S569" s="6"/>
      <c r="T569" s="61"/>
      <c r="U569" s="61">
        <f t="shared" ref="U569:U588" si="606">IF(V569=$AE$2,47,IF(V569=$AE$1,ROUND(((P569+500)*0.039),0),IF(V569=$AE$3,0)))</f>
        <v>0</v>
      </c>
      <c r="V569" s="7" t="str">
        <f t="shared" ref="V569:V588" si="607">IF(W569=1,$AE$2,IF(W569=2,$AE$1,IF(AND(W569&lt;&gt;1,W569&lt;&gt;20)=TRUE,$AE$3)))</f>
        <v>NONE</v>
      </c>
      <c r="W569" s="56"/>
      <c r="X569" s="5"/>
      <c r="Y569" s="61">
        <f t="shared" si="578"/>
        <v>0</v>
      </c>
      <c r="Z569" s="61"/>
      <c r="AA569" s="1">
        <f t="shared" si="579"/>
        <v>0</v>
      </c>
      <c r="AB569" s="1">
        <f t="shared" ref="AB569:AB588" si="608">IF(I569&gt;0,130,0)</f>
        <v>0</v>
      </c>
      <c r="AC569" s="1"/>
      <c r="AD569" s="65">
        <f t="shared" ref="AD569:AD588" si="609">(P569+U569)-AB569</f>
        <v>0</v>
      </c>
      <c r="AE569" s="1"/>
      <c r="AF569" s="1">
        <f t="shared" ref="AF569:AF588" si="610">IF(I569&gt;0,30*G569,0)</f>
        <v>0</v>
      </c>
      <c r="AG569" s="1">
        <f>IF(AH569&gt;0,AH414:AH569,0)</f>
        <v>0</v>
      </c>
      <c r="AH569" s="1">
        <f t="shared" ref="AH569:AH588" si="611">AD569-AF569</f>
        <v>0</v>
      </c>
      <c r="AJ569">
        <f t="shared" ref="AJ569:AJ588" si="612">IF(T569=1,P569-U569,0)</f>
        <v>0</v>
      </c>
      <c r="AK569">
        <f t="shared" ref="AK569:AK588" si="613">IF(T569=2,P569-U569,0)</f>
        <v>0</v>
      </c>
      <c r="AL569">
        <f t="shared" ref="AL569:AL588" si="614">IF(T569=3,P569-U569,0)</f>
        <v>0</v>
      </c>
      <c r="AM569">
        <f t="shared" ref="AM569:AM588" si="615">IF(T569=4,P569-U569,0)</f>
        <v>0</v>
      </c>
      <c r="AO569">
        <f t="shared" ref="AO569:AO588" si="616">IF(T569=1,P569-U569,0)</f>
        <v>0</v>
      </c>
      <c r="AP569">
        <f t="shared" ref="AP569:AP588" si="617">IF(T569=2,P569-U569,0)</f>
        <v>0</v>
      </c>
      <c r="AQ569">
        <f t="shared" ref="AQ569:AQ588" si="618">IF(T569=3,P569-U569,0)</f>
        <v>0</v>
      </c>
      <c r="AR569">
        <f t="shared" ref="AR569:AR588" si="619">IF(T569=4,P569-U569,0)</f>
        <v>0</v>
      </c>
    </row>
    <row r="570" spans="2:44" x14ac:dyDescent="0.25">
      <c r="B570" s="83" t="s">
        <v>82</v>
      </c>
      <c r="C570" s="253"/>
      <c r="D570" s="253"/>
      <c r="E570" s="248"/>
      <c r="F570" s="248"/>
      <c r="G570" s="248"/>
      <c r="H570" s="250" t="s">
        <v>1450</v>
      </c>
      <c r="I570" s="250"/>
      <c r="J570" s="248"/>
      <c r="K570" s="248"/>
      <c r="L570" s="248"/>
      <c r="M570" s="278"/>
      <c r="N570" s="4" t="s">
        <v>36</v>
      </c>
      <c r="P570" s="191">
        <v>0</v>
      </c>
      <c r="Q570" s="165">
        <v>0</v>
      </c>
      <c r="R570">
        <v>0</v>
      </c>
      <c r="S570" s="6"/>
      <c r="T570" s="61"/>
      <c r="U570" s="61">
        <f t="shared" si="606"/>
        <v>0</v>
      </c>
      <c r="V570" s="7" t="str">
        <f t="shared" si="607"/>
        <v>NONE</v>
      </c>
      <c r="W570" s="56"/>
      <c r="X570" s="5"/>
      <c r="Y570" s="61">
        <f t="shared" si="578"/>
        <v>0</v>
      </c>
      <c r="Z570" s="61"/>
      <c r="AA570" s="1">
        <f t="shared" si="579"/>
        <v>0</v>
      </c>
      <c r="AB570" s="1">
        <f t="shared" si="608"/>
        <v>0</v>
      </c>
      <c r="AC570" s="1"/>
      <c r="AD570" s="65">
        <f t="shared" si="609"/>
        <v>0</v>
      </c>
      <c r="AE570" s="1"/>
      <c r="AF570" s="1">
        <f t="shared" si="610"/>
        <v>0</v>
      </c>
      <c r="AG570" s="1">
        <f>IF(AH570&gt;0,AH416:AH570,0)</f>
        <v>0</v>
      </c>
      <c r="AH570" s="1">
        <f t="shared" si="611"/>
        <v>0</v>
      </c>
      <c r="AJ570">
        <f t="shared" si="612"/>
        <v>0</v>
      </c>
      <c r="AK570">
        <f t="shared" si="613"/>
        <v>0</v>
      </c>
      <c r="AL570">
        <f t="shared" si="614"/>
        <v>0</v>
      </c>
      <c r="AM570">
        <f t="shared" si="615"/>
        <v>0</v>
      </c>
      <c r="AO570">
        <f t="shared" si="616"/>
        <v>0</v>
      </c>
      <c r="AP570">
        <f t="shared" si="617"/>
        <v>0</v>
      </c>
      <c r="AQ570">
        <f t="shared" si="618"/>
        <v>0</v>
      </c>
      <c r="AR570">
        <f t="shared" si="619"/>
        <v>0</v>
      </c>
    </row>
    <row r="571" spans="2:44" ht="15.75" customHeight="1" x14ac:dyDescent="0.25">
      <c r="B571" s="8"/>
      <c r="C571" s="8"/>
      <c r="D571" s="8"/>
      <c r="F571">
        <f>IF(E571=$B$12,I571,0)</f>
        <v>0</v>
      </c>
      <c r="G571">
        <f>IF(F571&gt;0,0,1)</f>
        <v>1</v>
      </c>
      <c r="I571" s="121"/>
      <c r="N571" s="4" t="s">
        <v>36</v>
      </c>
      <c r="P571" s="191">
        <v>0</v>
      </c>
      <c r="Q571" s="165">
        <v>0</v>
      </c>
      <c r="R571">
        <v>0</v>
      </c>
      <c r="S571" s="6"/>
      <c r="T571" s="61"/>
      <c r="U571" s="61">
        <f t="shared" si="606"/>
        <v>0</v>
      </c>
      <c r="V571" s="7" t="str">
        <f t="shared" si="607"/>
        <v>NONE</v>
      </c>
      <c r="W571" s="56"/>
      <c r="X571" s="5"/>
      <c r="Y571" s="61">
        <f t="shared" si="578"/>
        <v>0</v>
      </c>
      <c r="Z571" s="61"/>
      <c r="AA571" s="1">
        <f t="shared" si="579"/>
        <v>0</v>
      </c>
      <c r="AB571" s="1">
        <f t="shared" si="608"/>
        <v>0</v>
      </c>
      <c r="AC571" s="1"/>
      <c r="AD571" s="65">
        <f t="shared" si="609"/>
        <v>0</v>
      </c>
      <c r="AE571" s="1"/>
      <c r="AF571" s="1">
        <f t="shared" si="610"/>
        <v>0</v>
      </c>
      <c r="AG571" s="1">
        <f>IF(AH571&gt;0,AH412:AH571,0)</f>
        <v>0</v>
      </c>
      <c r="AH571" s="1">
        <f t="shared" si="611"/>
        <v>0</v>
      </c>
      <c r="AJ571">
        <f t="shared" si="612"/>
        <v>0</v>
      </c>
      <c r="AK571">
        <f t="shared" si="613"/>
        <v>0</v>
      </c>
      <c r="AL571">
        <f t="shared" si="614"/>
        <v>0</v>
      </c>
      <c r="AM571">
        <f t="shared" si="615"/>
        <v>0</v>
      </c>
      <c r="AO571">
        <f t="shared" si="616"/>
        <v>0</v>
      </c>
      <c r="AP571">
        <f t="shared" si="617"/>
        <v>0</v>
      </c>
      <c r="AQ571">
        <f t="shared" si="618"/>
        <v>0</v>
      </c>
      <c r="AR571">
        <f t="shared" si="619"/>
        <v>0</v>
      </c>
    </row>
    <row r="572" spans="2:44" x14ac:dyDescent="0.25">
      <c r="B572" s="83" t="s">
        <v>82</v>
      </c>
      <c r="F572">
        <f>IF(E572=$B$12,I572,0)</f>
        <v>0</v>
      </c>
      <c r="G572">
        <f>IF(F572&gt;0,0,1)</f>
        <v>1</v>
      </c>
      <c r="H572" t="s">
        <v>1431</v>
      </c>
      <c r="I572" s="121"/>
      <c r="N572" s="4" t="s">
        <v>36</v>
      </c>
      <c r="P572" s="191">
        <v>0</v>
      </c>
      <c r="Q572" s="165">
        <v>0</v>
      </c>
      <c r="R572">
        <v>0</v>
      </c>
      <c r="S572" s="6"/>
      <c r="T572" s="61"/>
      <c r="U572" s="61">
        <f t="shared" si="606"/>
        <v>0</v>
      </c>
      <c r="V572" s="7" t="str">
        <f t="shared" si="607"/>
        <v>NONE</v>
      </c>
      <c r="W572" s="56"/>
      <c r="X572" s="5"/>
      <c r="Y572" s="61">
        <f t="shared" si="578"/>
        <v>0</v>
      </c>
      <c r="Z572" s="61"/>
      <c r="AA572" s="1">
        <f t="shared" si="579"/>
        <v>0</v>
      </c>
      <c r="AB572" s="1">
        <f t="shared" si="608"/>
        <v>0</v>
      </c>
      <c r="AC572" s="1"/>
      <c r="AD572" s="65">
        <f t="shared" si="609"/>
        <v>0</v>
      </c>
      <c r="AE572" s="1"/>
      <c r="AF572" s="1">
        <f t="shared" si="610"/>
        <v>0</v>
      </c>
      <c r="AG572" s="1">
        <f>IF(AH572&gt;0,AH414:AH572,0)</f>
        <v>0</v>
      </c>
      <c r="AH572" s="1">
        <f t="shared" si="611"/>
        <v>0</v>
      </c>
      <c r="AJ572">
        <f t="shared" si="612"/>
        <v>0</v>
      </c>
      <c r="AK572">
        <f t="shared" si="613"/>
        <v>0</v>
      </c>
      <c r="AL572">
        <f t="shared" si="614"/>
        <v>0</v>
      </c>
      <c r="AM572">
        <f t="shared" si="615"/>
        <v>0</v>
      </c>
      <c r="AO572">
        <f t="shared" si="616"/>
        <v>0</v>
      </c>
      <c r="AP572">
        <f t="shared" si="617"/>
        <v>0</v>
      </c>
      <c r="AQ572">
        <f t="shared" si="618"/>
        <v>0</v>
      </c>
      <c r="AR572">
        <f t="shared" si="619"/>
        <v>0</v>
      </c>
    </row>
    <row r="573" spans="2:44" x14ac:dyDescent="0.25">
      <c r="B573" s="248"/>
      <c r="C573" s="248"/>
      <c r="D573" s="248"/>
      <c r="E573" s="248"/>
      <c r="F573" s="248"/>
      <c r="G573" s="248"/>
      <c r="H573" s="250"/>
      <c r="I573" s="250"/>
      <c r="J573" s="248"/>
      <c r="K573" s="248"/>
      <c r="L573" s="248"/>
      <c r="M573" s="280"/>
      <c r="N573" s="4" t="s">
        <v>36</v>
      </c>
      <c r="P573" s="191">
        <v>0</v>
      </c>
      <c r="Q573" s="165">
        <v>0</v>
      </c>
      <c r="R573">
        <v>0</v>
      </c>
      <c r="S573" s="145"/>
      <c r="T573" s="61"/>
      <c r="U573" s="61">
        <f t="shared" si="606"/>
        <v>0</v>
      </c>
      <c r="V573" s="7" t="str">
        <f t="shared" si="607"/>
        <v>NONE</v>
      </c>
      <c r="W573" s="56"/>
      <c r="X573" s="87"/>
      <c r="Y573" s="61">
        <f t="shared" si="578"/>
        <v>0</v>
      </c>
      <c r="Z573" s="61"/>
      <c r="AA573" s="1">
        <f t="shared" si="579"/>
        <v>0</v>
      </c>
      <c r="AB573" s="1">
        <f t="shared" si="608"/>
        <v>0</v>
      </c>
      <c r="AC573" s="1"/>
      <c r="AD573" s="65">
        <f t="shared" si="609"/>
        <v>0</v>
      </c>
      <c r="AE573" s="1"/>
      <c r="AF573" s="1">
        <f t="shared" si="610"/>
        <v>0</v>
      </c>
      <c r="AG573" s="1">
        <f>IF(AH573&gt;0,AH414:AH582,0)</f>
        <v>0</v>
      </c>
      <c r="AH573" s="1">
        <f t="shared" si="611"/>
        <v>0</v>
      </c>
      <c r="AJ573">
        <f t="shared" si="612"/>
        <v>0</v>
      </c>
      <c r="AK573">
        <f t="shared" si="613"/>
        <v>0</v>
      </c>
      <c r="AL573">
        <f t="shared" si="614"/>
        <v>0</v>
      </c>
      <c r="AM573">
        <f t="shared" si="615"/>
        <v>0</v>
      </c>
      <c r="AO573">
        <f t="shared" si="616"/>
        <v>0</v>
      </c>
      <c r="AP573">
        <f t="shared" si="617"/>
        <v>0</v>
      </c>
      <c r="AQ573">
        <f t="shared" si="618"/>
        <v>0</v>
      </c>
      <c r="AR573">
        <f t="shared" si="619"/>
        <v>0</v>
      </c>
    </row>
    <row r="574" spans="2:44" ht="13.15" customHeight="1" x14ac:dyDescent="0.25">
      <c r="B574" s="83" t="s">
        <v>82</v>
      </c>
      <c r="C574" s="253"/>
      <c r="D574" s="253"/>
      <c r="E574" s="248"/>
      <c r="F574" s="248"/>
      <c r="G574" s="248"/>
      <c r="H574" s="250" t="s">
        <v>1449</v>
      </c>
      <c r="I574" s="250"/>
      <c r="J574" s="248"/>
      <c r="K574" s="248"/>
      <c r="L574" s="248"/>
      <c r="M574" s="280"/>
      <c r="N574" s="4" t="s">
        <v>36</v>
      </c>
      <c r="P574" s="191">
        <v>0</v>
      </c>
      <c r="Q574" s="165">
        <v>0</v>
      </c>
      <c r="R574">
        <v>0</v>
      </c>
      <c r="S574" s="6"/>
      <c r="T574" s="61"/>
      <c r="U574" s="61">
        <f t="shared" si="606"/>
        <v>0</v>
      </c>
      <c r="V574" s="7" t="str">
        <f t="shared" si="607"/>
        <v>NONE</v>
      </c>
      <c r="W574" s="56"/>
      <c r="X574" s="5"/>
      <c r="Y574" s="61">
        <f t="shared" si="578"/>
        <v>0</v>
      </c>
      <c r="Z574" s="61"/>
      <c r="AA574" s="1">
        <f t="shared" si="579"/>
        <v>0</v>
      </c>
      <c r="AB574" s="1">
        <f t="shared" si="608"/>
        <v>0</v>
      </c>
      <c r="AC574" s="1"/>
      <c r="AD574" s="65">
        <f t="shared" si="609"/>
        <v>0</v>
      </c>
      <c r="AE574" s="1"/>
      <c r="AF574" s="1">
        <f t="shared" si="610"/>
        <v>0</v>
      </c>
      <c r="AG574" s="1">
        <f>IF(AH574&gt;0,AH417:AH574,0)</f>
        <v>0</v>
      </c>
      <c r="AH574" s="1">
        <f t="shared" si="611"/>
        <v>0</v>
      </c>
      <c r="AJ574">
        <f t="shared" si="612"/>
        <v>0</v>
      </c>
      <c r="AK574">
        <f t="shared" si="613"/>
        <v>0</v>
      </c>
      <c r="AL574">
        <f t="shared" si="614"/>
        <v>0</v>
      </c>
      <c r="AM574">
        <f t="shared" si="615"/>
        <v>0</v>
      </c>
      <c r="AO574">
        <f t="shared" si="616"/>
        <v>0</v>
      </c>
      <c r="AP574">
        <f t="shared" si="617"/>
        <v>0</v>
      </c>
      <c r="AQ574">
        <f t="shared" si="618"/>
        <v>0</v>
      </c>
      <c r="AR574">
        <f t="shared" si="619"/>
        <v>0</v>
      </c>
    </row>
    <row r="575" spans="2:44" x14ac:dyDescent="0.25">
      <c r="B575" s="253"/>
      <c r="C575" s="248"/>
      <c r="D575" s="248"/>
      <c r="E575" s="248"/>
      <c r="F575" s="248"/>
      <c r="G575" s="248"/>
      <c r="H575" s="248"/>
      <c r="I575" s="250"/>
      <c r="J575" s="248"/>
      <c r="K575" s="248"/>
      <c r="L575" s="248"/>
      <c r="M575" s="308"/>
      <c r="N575" s="4" t="s">
        <v>36</v>
      </c>
      <c r="P575" s="191">
        <v>0</v>
      </c>
      <c r="Q575" s="165">
        <v>0</v>
      </c>
      <c r="R575">
        <v>0</v>
      </c>
      <c r="S575" s="6"/>
      <c r="T575" s="61"/>
      <c r="U575" s="61">
        <f t="shared" si="606"/>
        <v>0</v>
      </c>
      <c r="V575" s="7" t="str">
        <f t="shared" si="607"/>
        <v>NONE</v>
      </c>
      <c r="W575" s="56"/>
      <c r="X575" s="5"/>
      <c r="Y575" s="61">
        <f t="shared" si="578"/>
        <v>0</v>
      </c>
      <c r="Z575" s="61"/>
      <c r="AA575" s="1">
        <f t="shared" si="579"/>
        <v>0</v>
      </c>
      <c r="AB575" s="1">
        <f t="shared" si="608"/>
        <v>0</v>
      </c>
      <c r="AC575" s="1"/>
      <c r="AD575" s="65">
        <f t="shared" si="609"/>
        <v>0</v>
      </c>
      <c r="AE575" s="1"/>
      <c r="AF575" s="1">
        <f t="shared" si="610"/>
        <v>0</v>
      </c>
      <c r="AG575" s="1">
        <f>IF(AH575&gt;0,AH417:AH575,0)</f>
        <v>0</v>
      </c>
      <c r="AH575" s="1">
        <f t="shared" si="611"/>
        <v>0</v>
      </c>
      <c r="AJ575">
        <f t="shared" si="612"/>
        <v>0</v>
      </c>
      <c r="AK575">
        <f t="shared" si="613"/>
        <v>0</v>
      </c>
      <c r="AL575">
        <f t="shared" si="614"/>
        <v>0</v>
      </c>
      <c r="AM575">
        <f t="shared" si="615"/>
        <v>0</v>
      </c>
      <c r="AO575">
        <f t="shared" si="616"/>
        <v>0</v>
      </c>
      <c r="AP575">
        <f t="shared" si="617"/>
        <v>0</v>
      </c>
      <c r="AQ575">
        <f t="shared" si="618"/>
        <v>0</v>
      </c>
      <c r="AR575">
        <f t="shared" si="619"/>
        <v>0</v>
      </c>
    </row>
    <row r="576" spans="2:44" x14ac:dyDescent="0.25">
      <c r="B576" s="83" t="s">
        <v>82</v>
      </c>
      <c r="C576" s="253"/>
      <c r="D576" s="253"/>
      <c r="E576" s="248"/>
      <c r="F576" s="248"/>
      <c r="G576" s="248"/>
      <c r="H576" s="248" t="s">
        <v>1402</v>
      </c>
      <c r="I576" s="250"/>
      <c r="J576" s="248"/>
      <c r="K576" s="248"/>
      <c r="L576" s="248"/>
      <c r="M576" s="280"/>
      <c r="N576" s="4" t="s">
        <v>36</v>
      </c>
      <c r="P576" s="191">
        <v>0</v>
      </c>
      <c r="Q576" s="165">
        <v>0</v>
      </c>
      <c r="R576">
        <v>0</v>
      </c>
      <c r="S576" s="6"/>
      <c r="T576" s="61"/>
      <c r="U576" s="61">
        <f t="shared" si="606"/>
        <v>0</v>
      </c>
      <c r="V576" s="7" t="str">
        <f t="shared" si="607"/>
        <v>NONE</v>
      </c>
      <c r="W576" s="56"/>
      <c r="X576" s="5"/>
      <c r="Y576" s="61">
        <f t="shared" si="578"/>
        <v>0</v>
      </c>
      <c r="Z576" s="61"/>
      <c r="AA576" s="1">
        <f t="shared" si="579"/>
        <v>0</v>
      </c>
      <c r="AB576" s="1">
        <f t="shared" si="608"/>
        <v>0</v>
      </c>
      <c r="AC576" s="1"/>
      <c r="AD576" s="65">
        <f t="shared" si="609"/>
        <v>0</v>
      </c>
      <c r="AE576" s="1"/>
      <c r="AF576" s="1">
        <f t="shared" si="610"/>
        <v>0</v>
      </c>
      <c r="AG576" s="1">
        <f>IF(AH576&gt;0,AH418:AH576,0)</f>
        <v>0</v>
      </c>
      <c r="AH576" s="1">
        <f t="shared" si="611"/>
        <v>0</v>
      </c>
      <c r="AJ576">
        <f t="shared" si="612"/>
        <v>0</v>
      </c>
      <c r="AK576">
        <f t="shared" si="613"/>
        <v>0</v>
      </c>
      <c r="AL576">
        <f t="shared" si="614"/>
        <v>0</v>
      </c>
      <c r="AM576">
        <f t="shared" si="615"/>
        <v>0</v>
      </c>
      <c r="AO576">
        <f t="shared" si="616"/>
        <v>0</v>
      </c>
      <c r="AP576">
        <f t="shared" si="617"/>
        <v>0</v>
      </c>
      <c r="AQ576">
        <f t="shared" si="618"/>
        <v>0</v>
      </c>
      <c r="AR576">
        <f t="shared" si="619"/>
        <v>0</v>
      </c>
    </row>
    <row r="577" spans="1:45" x14ac:dyDescent="0.25">
      <c r="B577" s="253"/>
      <c r="C577" s="248"/>
      <c r="D577" s="248"/>
      <c r="E577" s="248"/>
      <c r="F577" s="248"/>
      <c r="G577" s="248"/>
      <c r="H577" s="248"/>
      <c r="I577" s="250"/>
      <c r="J577" s="248"/>
      <c r="K577" s="248"/>
      <c r="L577" s="248"/>
      <c r="M577" s="280"/>
      <c r="N577" s="4" t="s">
        <v>36</v>
      </c>
      <c r="P577" s="191">
        <v>0</v>
      </c>
      <c r="Q577" s="165">
        <v>0</v>
      </c>
      <c r="R577">
        <v>0</v>
      </c>
      <c r="S577" s="6"/>
      <c r="T577" s="61"/>
      <c r="U577" s="61">
        <f t="shared" si="606"/>
        <v>0</v>
      </c>
      <c r="V577" s="7" t="str">
        <f t="shared" si="607"/>
        <v>NONE</v>
      </c>
      <c r="W577" s="56"/>
      <c r="X577" s="5"/>
      <c r="Y577" s="61">
        <f t="shared" si="578"/>
        <v>0</v>
      </c>
      <c r="Z577" s="61"/>
      <c r="AA577" s="1">
        <f t="shared" si="579"/>
        <v>0</v>
      </c>
      <c r="AB577" s="1">
        <f t="shared" si="608"/>
        <v>0</v>
      </c>
      <c r="AC577" s="1"/>
      <c r="AD577" s="65">
        <f t="shared" si="609"/>
        <v>0</v>
      </c>
      <c r="AE577" s="1"/>
      <c r="AF577" s="1">
        <f t="shared" si="610"/>
        <v>0</v>
      </c>
      <c r="AG577" s="1">
        <f>IF(AH577&gt;0,AH417:AH582,0)</f>
        <v>0</v>
      </c>
      <c r="AH577" s="1">
        <f t="shared" si="611"/>
        <v>0</v>
      </c>
      <c r="AJ577">
        <f t="shared" si="612"/>
        <v>0</v>
      </c>
      <c r="AK577">
        <f t="shared" si="613"/>
        <v>0</v>
      </c>
      <c r="AL577">
        <f t="shared" si="614"/>
        <v>0</v>
      </c>
      <c r="AM577">
        <f t="shared" si="615"/>
        <v>0</v>
      </c>
      <c r="AO577">
        <f t="shared" si="616"/>
        <v>0</v>
      </c>
      <c r="AP577">
        <f t="shared" si="617"/>
        <v>0</v>
      </c>
      <c r="AQ577">
        <f t="shared" si="618"/>
        <v>0</v>
      </c>
      <c r="AR577">
        <f t="shared" si="619"/>
        <v>0</v>
      </c>
    </row>
    <row r="578" spans="1:45" x14ac:dyDescent="0.25">
      <c r="B578" s="253"/>
      <c r="C578" s="253"/>
      <c r="D578" s="253"/>
      <c r="E578" s="248"/>
      <c r="F578" s="248"/>
      <c r="G578" s="248"/>
      <c r="H578" s="250"/>
      <c r="I578" s="250"/>
      <c r="J578" s="248"/>
      <c r="K578" s="248"/>
      <c r="L578" s="248"/>
      <c r="M578" s="280"/>
      <c r="N578" s="4" t="s">
        <v>36</v>
      </c>
      <c r="P578" s="191">
        <v>0</v>
      </c>
      <c r="Q578" s="165">
        <v>0</v>
      </c>
      <c r="R578">
        <v>0</v>
      </c>
      <c r="S578" s="6"/>
      <c r="T578" s="61"/>
      <c r="U578" s="61">
        <f t="shared" si="606"/>
        <v>0</v>
      </c>
      <c r="V578" s="7" t="str">
        <f t="shared" si="607"/>
        <v>NONE</v>
      </c>
      <c r="W578" s="56"/>
      <c r="X578" s="5"/>
      <c r="Y578" s="61">
        <f t="shared" si="578"/>
        <v>0</v>
      </c>
      <c r="Z578" s="61"/>
      <c r="AA578" s="1">
        <f t="shared" si="579"/>
        <v>0</v>
      </c>
      <c r="AB578" s="1">
        <f t="shared" si="608"/>
        <v>0</v>
      </c>
      <c r="AC578" s="1"/>
      <c r="AD578" s="65">
        <f t="shared" si="609"/>
        <v>0</v>
      </c>
      <c r="AE578" s="1"/>
      <c r="AF578" s="1">
        <f t="shared" si="610"/>
        <v>0</v>
      </c>
      <c r="AG578" s="1">
        <f>IF(AH578&gt;0,AH419:AH578,0)</f>
        <v>0</v>
      </c>
      <c r="AH578" s="1">
        <f t="shared" si="611"/>
        <v>0</v>
      </c>
      <c r="AJ578">
        <f t="shared" si="612"/>
        <v>0</v>
      </c>
      <c r="AK578">
        <f t="shared" si="613"/>
        <v>0</v>
      </c>
      <c r="AL578">
        <f t="shared" si="614"/>
        <v>0</v>
      </c>
      <c r="AM578">
        <f t="shared" si="615"/>
        <v>0</v>
      </c>
      <c r="AO578">
        <f t="shared" si="616"/>
        <v>0</v>
      </c>
      <c r="AP578">
        <f t="shared" si="617"/>
        <v>0</v>
      </c>
      <c r="AQ578">
        <f t="shared" si="618"/>
        <v>0</v>
      </c>
      <c r="AR578">
        <f t="shared" si="619"/>
        <v>0</v>
      </c>
    </row>
    <row r="579" spans="1:45" x14ac:dyDescent="0.25">
      <c r="B579" s="248"/>
      <c r="C579" s="248"/>
      <c r="D579" s="248"/>
      <c r="E579" s="248"/>
      <c r="F579" s="248"/>
      <c r="G579" s="248"/>
      <c r="H579" s="250"/>
      <c r="I579" s="250"/>
      <c r="J579" s="248"/>
      <c r="K579" s="248"/>
      <c r="L579" s="248"/>
      <c r="M579" s="280"/>
      <c r="N579" s="4" t="s">
        <v>36</v>
      </c>
      <c r="P579" s="191">
        <v>0</v>
      </c>
      <c r="Q579" s="165">
        <v>0</v>
      </c>
      <c r="R579">
        <v>0</v>
      </c>
      <c r="S579" s="6"/>
      <c r="T579" s="61"/>
      <c r="U579" s="61">
        <f t="shared" si="606"/>
        <v>0</v>
      </c>
      <c r="V579" s="7" t="str">
        <f t="shared" si="607"/>
        <v>NONE</v>
      </c>
      <c r="W579" s="56"/>
      <c r="X579" s="183"/>
      <c r="Y579" s="61">
        <f t="shared" si="578"/>
        <v>0</v>
      </c>
      <c r="Z579" s="61"/>
      <c r="AA579" s="1">
        <f t="shared" si="579"/>
        <v>0</v>
      </c>
      <c r="AB579" s="1">
        <f t="shared" si="608"/>
        <v>0</v>
      </c>
      <c r="AC579" s="1"/>
      <c r="AD579" s="65">
        <f t="shared" si="609"/>
        <v>0</v>
      </c>
      <c r="AE579" s="1"/>
      <c r="AF579" s="1">
        <f t="shared" si="610"/>
        <v>0</v>
      </c>
      <c r="AG579" s="1">
        <f>IF(AH579&gt;0,AH417:AH579,0)</f>
        <v>0</v>
      </c>
      <c r="AH579" s="1">
        <f t="shared" si="611"/>
        <v>0</v>
      </c>
      <c r="AJ579">
        <f t="shared" si="612"/>
        <v>0</v>
      </c>
      <c r="AK579">
        <f t="shared" si="613"/>
        <v>0</v>
      </c>
      <c r="AL579">
        <f t="shared" si="614"/>
        <v>0</v>
      </c>
      <c r="AM579">
        <f t="shared" si="615"/>
        <v>0</v>
      </c>
      <c r="AO579">
        <f t="shared" si="616"/>
        <v>0</v>
      </c>
      <c r="AP579">
        <f t="shared" si="617"/>
        <v>0</v>
      </c>
      <c r="AQ579">
        <f t="shared" si="618"/>
        <v>0</v>
      </c>
      <c r="AR579">
        <f t="shared" si="619"/>
        <v>0</v>
      </c>
    </row>
    <row r="580" spans="1:45" x14ac:dyDescent="0.25">
      <c r="B580" s="253"/>
      <c r="C580" s="248"/>
      <c r="D580" s="248"/>
      <c r="E580" s="248"/>
      <c r="F580" s="248"/>
      <c r="G580" s="248"/>
      <c r="H580" s="250"/>
      <c r="I580" s="250"/>
      <c r="J580" s="248"/>
      <c r="K580" s="248"/>
      <c r="L580" s="248"/>
      <c r="M580" s="280"/>
      <c r="N580" s="4" t="s">
        <v>36</v>
      </c>
      <c r="P580" s="191">
        <v>0</v>
      </c>
      <c r="Q580" s="165">
        <v>0</v>
      </c>
      <c r="R580">
        <v>0</v>
      </c>
      <c r="S580" s="6"/>
      <c r="T580" s="61"/>
      <c r="U580" s="61">
        <f t="shared" si="606"/>
        <v>0</v>
      </c>
      <c r="V580" s="7" t="str">
        <f t="shared" si="607"/>
        <v>NONE</v>
      </c>
      <c r="W580" s="56"/>
      <c r="X580" s="5"/>
      <c r="Y580" s="61">
        <f t="shared" si="578"/>
        <v>0</v>
      </c>
      <c r="Z580" s="61"/>
      <c r="AA580" s="1">
        <f t="shared" si="579"/>
        <v>0</v>
      </c>
      <c r="AB580" s="1">
        <f t="shared" si="608"/>
        <v>0</v>
      </c>
      <c r="AC580" s="1"/>
      <c r="AD580" s="65">
        <f t="shared" si="609"/>
        <v>0</v>
      </c>
      <c r="AE580" s="1"/>
      <c r="AF580" s="1">
        <f t="shared" si="610"/>
        <v>0</v>
      </c>
      <c r="AG580" s="1">
        <f>IF(AH580&gt;0,AH419:AH584,0)</f>
        <v>0</v>
      </c>
      <c r="AH580" s="1">
        <f t="shared" si="611"/>
        <v>0</v>
      </c>
      <c r="AJ580">
        <f t="shared" si="612"/>
        <v>0</v>
      </c>
      <c r="AK580">
        <f t="shared" si="613"/>
        <v>0</v>
      </c>
      <c r="AL580">
        <f t="shared" si="614"/>
        <v>0</v>
      </c>
      <c r="AM580">
        <f t="shared" si="615"/>
        <v>0</v>
      </c>
      <c r="AO580">
        <f t="shared" si="616"/>
        <v>0</v>
      </c>
      <c r="AP580">
        <f t="shared" si="617"/>
        <v>0</v>
      </c>
      <c r="AQ580">
        <f t="shared" si="618"/>
        <v>0</v>
      </c>
      <c r="AR580">
        <f t="shared" si="619"/>
        <v>0</v>
      </c>
    </row>
    <row r="581" spans="1:45" x14ac:dyDescent="0.25">
      <c r="B581" s="253"/>
      <c r="C581" s="253"/>
      <c r="D581" s="253"/>
      <c r="E581" s="248"/>
      <c r="F581" s="248"/>
      <c r="G581" s="248"/>
      <c r="H581" s="248"/>
      <c r="I581" s="250"/>
      <c r="J581" s="248"/>
      <c r="K581" s="248"/>
      <c r="L581" s="248"/>
      <c r="M581" s="280"/>
      <c r="N581" s="4" t="s">
        <v>36</v>
      </c>
      <c r="P581" s="191">
        <v>0</v>
      </c>
      <c r="Q581" s="165">
        <v>0</v>
      </c>
      <c r="R581">
        <v>0</v>
      </c>
      <c r="S581" s="6"/>
      <c r="T581" s="61"/>
      <c r="U581" s="61">
        <f t="shared" si="606"/>
        <v>0</v>
      </c>
      <c r="V581" s="7" t="str">
        <f t="shared" si="607"/>
        <v>NONE</v>
      </c>
      <c r="W581" s="56"/>
      <c r="X581" s="5"/>
      <c r="Y581" s="61">
        <f t="shared" si="578"/>
        <v>0</v>
      </c>
      <c r="Z581" s="61"/>
      <c r="AA581" s="1">
        <f t="shared" si="579"/>
        <v>0</v>
      </c>
      <c r="AB581" s="1">
        <f t="shared" si="608"/>
        <v>0</v>
      </c>
      <c r="AC581" s="1"/>
      <c r="AD581" s="65">
        <f t="shared" si="609"/>
        <v>0</v>
      </c>
      <c r="AE581" s="1"/>
      <c r="AF581" s="1">
        <f t="shared" si="610"/>
        <v>0</v>
      </c>
      <c r="AG581" s="1">
        <f>IF(AH581&gt;0,AH420:AH581,0)</f>
        <v>0</v>
      </c>
      <c r="AH581" s="1">
        <f t="shared" si="611"/>
        <v>0</v>
      </c>
      <c r="AJ581">
        <f t="shared" si="612"/>
        <v>0</v>
      </c>
      <c r="AK581">
        <f t="shared" si="613"/>
        <v>0</v>
      </c>
      <c r="AL581">
        <f t="shared" si="614"/>
        <v>0</v>
      </c>
      <c r="AM581">
        <f t="shared" si="615"/>
        <v>0</v>
      </c>
      <c r="AO581">
        <f t="shared" si="616"/>
        <v>0</v>
      </c>
      <c r="AP581">
        <f t="shared" si="617"/>
        <v>0</v>
      </c>
      <c r="AQ581">
        <f t="shared" si="618"/>
        <v>0</v>
      </c>
      <c r="AR581">
        <f t="shared" si="619"/>
        <v>0</v>
      </c>
    </row>
    <row r="582" spans="1:45" x14ac:dyDescent="0.25">
      <c r="B582" s="248"/>
      <c r="C582" s="248"/>
      <c r="D582" s="248"/>
      <c r="E582" s="248"/>
      <c r="F582" s="248"/>
      <c r="G582" s="248"/>
      <c r="H582" s="248"/>
      <c r="I582" s="250"/>
      <c r="J582" s="248"/>
      <c r="K582" s="248"/>
      <c r="L582" s="248"/>
      <c r="M582" s="280"/>
      <c r="N582" s="4" t="s">
        <v>36</v>
      </c>
      <c r="P582" s="191">
        <v>0</v>
      </c>
      <c r="Q582" s="165">
        <v>0</v>
      </c>
      <c r="R582">
        <v>0</v>
      </c>
      <c r="S582" s="6"/>
      <c r="T582" s="61"/>
      <c r="U582" s="61">
        <f t="shared" si="606"/>
        <v>0</v>
      </c>
      <c r="V582" s="7" t="str">
        <f t="shared" si="607"/>
        <v>NONE</v>
      </c>
      <c r="W582" s="56"/>
      <c r="X582" s="5"/>
      <c r="Y582" s="61">
        <f t="shared" si="578"/>
        <v>0</v>
      </c>
      <c r="Z582" s="61"/>
      <c r="AA582" s="1">
        <f t="shared" si="579"/>
        <v>0</v>
      </c>
      <c r="AB582" s="1">
        <f t="shared" si="608"/>
        <v>0</v>
      </c>
      <c r="AC582" s="1"/>
      <c r="AD582" s="65">
        <f t="shared" si="609"/>
        <v>0</v>
      </c>
      <c r="AE582" s="1"/>
      <c r="AF582" s="1">
        <f t="shared" si="610"/>
        <v>0</v>
      </c>
      <c r="AG582" s="1">
        <f>IF(AH582&gt;0,AH421:AH582,0)</f>
        <v>0</v>
      </c>
      <c r="AH582" s="1">
        <f t="shared" si="611"/>
        <v>0</v>
      </c>
      <c r="AJ582">
        <f t="shared" si="612"/>
        <v>0</v>
      </c>
      <c r="AK582">
        <f t="shared" si="613"/>
        <v>0</v>
      </c>
      <c r="AL582">
        <f t="shared" si="614"/>
        <v>0</v>
      </c>
      <c r="AM582">
        <f t="shared" si="615"/>
        <v>0</v>
      </c>
      <c r="AO582">
        <f t="shared" si="616"/>
        <v>0</v>
      </c>
      <c r="AP582">
        <f t="shared" si="617"/>
        <v>0</v>
      </c>
      <c r="AQ582">
        <f t="shared" si="618"/>
        <v>0</v>
      </c>
      <c r="AR582">
        <f t="shared" si="619"/>
        <v>0</v>
      </c>
    </row>
    <row r="583" spans="1:45" x14ac:dyDescent="0.25">
      <c r="B583" s="253"/>
      <c r="C583" s="248"/>
      <c r="D583" s="248"/>
      <c r="E583" s="248"/>
      <c r="F583" s="248"/>
      <c r="G583" s="248"/>
      <c r="H583" s="250"/>
      <c r="I583" s="250"/>
      <c r="J583" s="248"/>
      <c r="K583" s="248"/>
      <c r="L583" s="248"/>
      <c r="M583" s="280"/>
      <c r="N583" s="4" t="s">
        <v>36</v>
      </c>
      <c r="P583" s="191">
        <v>0</v>
      </c>
      <c r="Q583" s="165">
        <v>0</v>
      </c>
      <c r="R583">
        <v>0</v>
      </c>
      <c r="S583" s="6"/>
      <c r="T583" s="61"/>
      <c r="U583" s="61">
        <f t="shared" si="606"/>
        <v>0</v>
      </c>
      <c r="V583" s="7" t="str">
        <f t="shared" si="607"/>
        <v>NONE</v>
      </c>
      <c r="W583" s="56"/>
      <c r="X583" s="5"/>
      <c r="Y583" s="61">
        <f t="shared" si="578"/>
        <v>0</v>
      </c>
      <c r="Z583" s="61"/>
      <c r="AA583" s="1">
        <f t="shared" si="579"/>
        <v>0</v>
      </c>
      <c r="AB583" s="1">
        <f t="shared" si="608"/>
        <v>0</v>
      </c>
      <c r="AC583" s="1"/>
      <c r="AD583" s="65">
        <f t="shared" si="609"/>
        <v>0</v>
      </c>
      <c r="AE583" s="1"/>
      <c r="AF583" s="1">
        <f t="shared" si="610"/>
        <v>0</v>
      </c>
      <c r="AG583" s="1">
        <f>IF(AH583&gt;0,AH427:AH583,0)</f>
        <v>0</v>
      </c>
      <c r="AH583" s="1">
        <f t="shared" si="611"/>
        <v>0</v>
      </c>
      <c r="AJ583">
        <f t="shared" si="612"/>
        <v>0</v>
      </c>
      <c r="AK583">
        <f t="shared" si="613"/>
        <v>0</v>
      </c>
      <c r="AL583">
        <f t="shared" si="614"/>
        <v>0</v>
      </c>
      <c r="AM583">
        <f t="shared" si="615"/>
        <v>0</v>
      </c>
      <c r="AO583">
        <f t="shared" si="616"/>
        <v>0</v>
      </c>
      <c r="AP583">
        <f t="shared" si="617"/>
        <v>0</v>
      </c>
      <c r="AQ583">
        <f t="shared" si="618"/>
        <v>0</v>
      </c>
      <c r="AR583">
        <f t="shared" si="619"/>
        <v>0</v>
      </c>
    </row>
    <row r="584" spans="1:45" x14ac:dyDescent="0.25">
      <c r="B584" s="8"/>
      <c r="F584">
        <f>IF(E584=$B$12,I584,0)</f>
        <v>0</v>
      </c>
      <c r="G584">
        <f>IF(F584&gt;0,0,1)</f>
        <v>1</v>
      </c>
      <c r="I584" s="121"/>
      <c r="N584" s="4" t="s">
        <v>36</v>
      </c>
      <c r="P584" s="191">
        <v>0</v>
      </c>
      <c r="Q584" s="165">
        <v>0</v>
      </c>
      <c r="R584">
        <v>0</v>
      </c>
      <c r="S584" s="6"/>
      <c r="T584" s="61"/>
      <c r="U584" s="61">
        <f t="shared" si="606"/>
        <v>0</v>
      </c>
      <c r="V584" s="7" t="str">
        <f t="shared" si="607"/>
        <v>NONE</v>
      </c>
      <c r="W584" s="56"/>
      <c r="X584" s="5"/>
      <c r="Y584" s="61">
        <f t="shared" si="578"/>
        <v>0</v>
      </c>
      <c r="Z584" s="61"/>
      <c r="AA584" s="1">
        <f t="shared" si="579"/>
        <v>0</v>
      </c>
      <c r="AB584" s="1">
        <f t="shared" si="608"/>
        <v>0</v>
      </c>
      <c r="AC584" s="1"/>
      <c r="AD584" s="65">
        <f t="shared" si="609"/>
        <v>0</v>
      </c>
      <c r="AE584" s="1"/>
      <c r="AF584" s="1">
        <f t="shared" si="610"/>
        <v>0</v>
      </c>
      <c r="AG584" s="1">
        <f>IF(AH584&gt;0,AH428:AH584,0)</f>
        <v>0</v>
      </c>
      <c r="AH584" s="1">
        <f t="shared" si="611"/>
        <v>0</v>
      </c>
      <c r="AJ584">
        <f t="shared" si="612"/>
        <v>0</v>
      </c>
      <c r="AK584">
        <f t="shared" si="613"/>
        <v>0</v>
      </c>
      <c r="AL584">
        <f t="shared" si="614"/>
        <v>0</v>
      </c>
      <c r="AM584">
        <f t="shared" si="615"/>
        <v>0</v>
      </c>
      <c r="AO584">
        <f t="shared" si="616"/>
        <v>0</v>
      </c>
      <c r="AP584">
        <f t="shared" si="617"/>
        <v>0</v>
      </c>
      <c r="AQ584">
        <f t="shared" si="618"/>
        <v>0</v>
      </c>
      <c r="AR584">
        <f t="shared" si="619"/>
        <v>0</v>
      </c>
    </row>
    <row r="585" spans="1:45" x14ac:dyDescent="0.25">
      <c r="F585">
        <f>IF(E585=$B$12,I585,0)</f>
        <v>0</v>
      </c>
      <c r="G585">
        <f>IF(F585&gt;0,0,1)</f>
        <v>1</v>
      </c>
      <c r="I585" s="121"/>
      <c r="N585" s="4" t="s">
        <v>36</v>
      </c>
      <c r="P585" s="191">
        <v>0</v>
      </c>
      <c r="Q585" s="165">
        <v>0</v>
      </c>
      <c r="R585">
        <v>0</v>
      </c>
      <c r="S585" s="6"/>
      <c r="T585" s="61"/>
      <c r="U585" s="61">
        <f t="shared" si="606"/>
        <v>0</v>
      </c>
      <c r="V585" s="7" t="str">
        <f t="shared" si="607"/>
        <v>NONE</v>
      </c>
      <c r="W585" s="56"/>
      <c r="X585" s="5"/>
      <c r="Y585" s="61">
        <f t="shared" si="578"/>
        <v>0</v>
      </c>
      <c r="Z585" s="61"/>
      <c r="AA585" s="1">
        <f t="shared" si="579"/>
        <v>0</v>
      </c>
      <c r="AB585" s="1">
        <f t="shared" si="608"/>
        <v>0</v>
      </c>
      <c r="AC585" s="1"/>
      <c r="AD585" s="65">
        <f t="shared" si="609"/>
        <v>0</v>
      </c>
      <c r="AE585" s="1"/>
      <c r="AF585" s="1">
        <f t="shared" si="610"/>
        <v>0</v>
      </c>
      <c r="AG585" s="1">
        <f>IF(AH585&gt;0,AH427:AH585,0)</f>
        <v>0</v>
      </c>
      <c r="AH585" s="1">
        <f t="shared" si="611"/>
        <v>0</v>
      </c>
      <c r="AJ585">
        <f t="shared" si="612"/>
        <v>0</v>
      </c>
      <c r="AK585">
        <f t="shared" si="613"/>
        <v>0</v>
      </c>
      <c r="AL585">
        <f t="shared" si="614"/>
        <v>0</v>
      </c>
      <c r="AM585">
        <f t="shared" si="615"/>
        <v>0</v>
      </c>
      <c r="AO585">
        <f t="shared" si="616"/>
        <v>0</v>
      </c>
      <c r="AP585">
        <f t="shared" si="617"/>
        <v>0</v>
      </c>
      <c r="AQ585">
        <f t="shared" si="618"/>
        <v>0</v>
      </c>
      <c r="AR585">
        <f t="shared" si="619"/>
        <v>0</v>
      </c>
    </row>
    <row r="586" spans="1:45" x14ac:dyDescent="0.25">
      <c r="C586" s="8"/>
      <c r="D586" s="8"/>
      <c r="F586">
        <f>IF(E586=$B$12,I586,0)</f>
        <v>0</v>
      </c>
      <c r="G586">
        <f>IF(F586&gt;0,0,1)</f>
        <v>1</v>
      </c>
      <c r="H586" s="121"/>
      <c r="I586" s="121"/>
      <c r="N586" s="4" t="s">
        <v>36</v>
      </c>
      <c r="P586" s="191">
        <v>0</v>
      </c>
      <c r="Q586" s="165">
        <v>0</v>
      </c>
      <c r="R586">
        <v>0</v>
      </c>
      <c r="S586" s="6"/>
      <c r="T586" s="61"/>
      <c r="U586" s="61">
        <f t="shared" si="606"/>
        <v>0</v>
      </c>
      <c r="V586" s="7" t="str">
        <f t="shared" si="607"/>
        <v>NONE</v>
      </c>
      <c r="W586" s="56"/>
      <c r="X586" s="5"/>
      <c r="Y586" s="61">
        <f t="shared" si="578"/>
        <v>0</v>
      </c>
      <c r="Z586" s="61"/>
      <c r="AA586" s="1">
        <f t="shared" si="579"/>
        <v>0</v>
      </c>
      <c r="AB586" s="1">
        <f t="shared" si="608"/>
        <v>0</v>
      </c>
      <c r="AC586" s="1"/>
      <c r="AD586" s="65">
        <f t="shared" si="609"/>
        <v>0</v>
      </c>
      <c r="AE586" s="1"/>
      <c r="AF586" s="1">
        <f t="shared" si="610"/>
        <v>0</v>
      </c>
      <c r="AG586" s="1">
        <f>IF(AH586&gt;0,AH429:AH586,0)</f>
        <v>0</v>
      </c>
      <c r="AH586" s="1">
        <f t="shared" si="611"/>
        <v>0</v>
      </c>
      <c r="AJ586">
        <f t="shared" si="612"/>
        <v>0</v>
      </c>
      <c r="AK586">
        <f t="shared" si="613"/>
        <v>0</v>
      </c>
      <c r="AL586">
        <f t="shared" si="614"/>
        <v>0</v>
      </c>
      <c r="AM586">
        <f t="shared" si="615"/>
        <v>0</v>
      </c>
      <c r="AO586">
        <f t="shared" si="616"/>
        <v>0</v>
      </c>
      <c r="AP586">
        <f t="shared" si="617"/>
        <v>0</v>
      </c>
      <c r="AQ586">
        <f t="shared" si="618"/>
        <v>0</v>
      </c>
      <c r="AR586">
        <f t="shared" si="619"/>
        <v>0</v>
      </c>
    </row>
    <row r="587" spans="1:45" x14ac:dyDescent="0.25">
      <c r="B587" s="8"/>
      <c r="C587" s="8"/>
      <c r="D587" s="8"/>
      <c r="F587">
        <f>IF(E587=$B$12,I587,0)</f>
        <v>0</v>
      </c>
      <c r="G587">
        <f>IF(F587&gt;0,0,1)</f>
        <v>1</v>
      </c>
      <c r="I587" s="121"/>
      <c r="N587" s="4" t="s">
        <v>36</v>
      </c>
      <c r="P587" s="191">
        <v>0</v>
      </c>
      <c r="Q587" s="165">
        <v>0</v>
      </c>
      <c r="R587">
        <v>0</v>
      </c>
      <c r="S587" s="6"/>
      <c r="T587" s="61"/>
      <c r="U587" s="61">
        <f t="shared" si="606"/>
        <v>0</v>
      </c>
      <c r="V587" s="7" t="str">
        <f t="shared" si="607"/>
        <v>NONE</v>
      </c>
      <c r="W587" s="56"/>
      <c r="X587" s="5"/>
      <c r="Y587" s="61">
        <f t="shared" si="578"/>
        <v>0</v>
      </c>
      <c r="Z587" s="61"/>
      <c r="AA587" s="1">
        <f t="shared" si="579"/>
        <v>0</v>
      </c>
      <c r="AB587" s="1">
        <f t="shared" si="608"/>
        <v>0</v>
      </c>
      <c r="AC587" s="1"/>
      <c r="AD587" s="65">
        <f t="shared" si="609"/>
        <v>0</v>
      </c>
      <c r="AE587" s="1"/>
      <c r="AF587" s="1">
        <f t="shared" si="610"/>
        <v>0</v>
      </c>
      <c r="AG587" s="1">
        <f>IF(AH587&gt;0,AH429:AH587,0)</f>
        <v>0</v>
      </c>
      <c r="AH587" s="1">
        <f t="shared" si="611"/>
        <v>0</v>
      </c>
      <c r="AJ587">
        <f t="shared" si="612"/>
        <v>0</v>
      </c>
      <c r="AK587">
        <f t="shared" si="613"/>
        <v>0</v>
      </c>
      <c r="AL587">
        <f t="shared" si="614"/>
        <v>0</v>
      </c>
      <c r="AM587">
        <f t="shared" si="615"/>
        <v>0</v>
      </c>
      <c r="AO587">
        <f t="shared" si="616"/>
        <v>0</v>
      </c>
      <c r="AP587">
        <f t="shared" si="617"/>
        <v>0</v>
      </c>
      <c r="AQ587">
        <f t="shared" si="618"/>
        <v>0</v>
      </c>
      <c r="AR587">
        <f t="shared" si="619"/>
        <v>0</v>
      </c>
    </row>
    <row r="588" spans="1:45" x14ac:dyDescent="0.25">
      <c r="B588" s="83"/>
      <c r="F588">
        <f>IF(E588=$B$12,I588,0)</f>
        <v>0</v>
      </c>
      <c r="G588">
        <f>IF(F588&gt;0,0,1)</f>
        <v>1</v>
      </c>
      <c r="I588" s="121"/>
      <c r="N588" s="4"/>
      <c r="P588" s="191">
        <v>0</v>
      </c>
      <c r="Q588" s="165">
        <v>0</v>
      </c>
      <c r="R588">
        <v>0</v>
      </c>
      <c r="S588" s="6"/>
      <c r="T588" s="61"/>
      <c r="U588" s="61">
        <f t="shared" si="606"/>
        <v>0</v>
      </c>
      <c r="V588" s="7" t="str">
        <f t="shared" si="607"/>
        <v>NONE</v>
      </c>
      <c r="W588" s="56"/>
      <c r="X588" s="5"/>
      <c r="Y588" s="61">
        <f t="shared" si="578"/>
        <v>0</v>
      </c>
      <c r="Z588" s="61"/>
      <c r="AA588" s="1">
        <f t="shared" si="579"/>
        <v>0</v>
      </c>
      <c r="AB588" s="1">
        <f t="shared" si="608"/>
        <v>0</v>
      </c>
      <c r="AC588" s="1"/>
      <c r="AD588" s="65">
        <f t="shared" si="609"/>
        <v>0</v>
      </c>
      <c r="AE588" s="1"/>
      <c r="AF588" s="1">
        <f t="shared" si="610"/>
        <v>0</v>
      </c>
      <c r="AG588" s="1">
        <f>IF(AH588&gt;0,AH428:AH588,0)</f>
        <v>0</v>
      </c>
      <c r="AH588" s="1">
        <f t="shared" si="611"/>
        <v>0</v>
      </c>
      <c r="AJ588">
        <f t="shared" si="612"/>
        <v>0</v>
      </c>
      <c r="AK588">
        <f t="shared" si="613"/>
        <v>0</v>
      </c>
      <c r="AL588">
        <f t="shared" si="614"/>
        <v>0</v>
      </c>
      <c r="AM588">
        <f t="shared" si="615"/>
        <v>0</v>
      </c>
      <c r="AO588">
        <f t="shared" si="616"/>
        <v>0</v>
      </c>
      <c r="AP588">
        <f t="shared" si="617"/>
        <v>0</v>
      </c>
      <c r="AQ588">
        <f t="shared" si="618"/>
        <v>0</v>
      </c>
      <c r="AR588">
        <f t="shared" si="619"/>
        <v>0</v>
      </c>
    </row>
    <row r="589" spans="1:45" x14ac:dyDescent="0.25">
      <c r="A589" s="40"/>
      <c r="B589" s="155">
        <f>COUNTIFS(E547:E588,"&lt;&gt;"&amp;B101)-COUNTIFS(E547:E588,"="&amp;B100)</f>
        <v>42</v>
      </c>
      <c r="C589" s="284" t="s">
        <v>1275</v>
      </c>
      <c r="D589" s="286">
        <f>COUNTIFS(E547:E588,"=FS")</f>
        <v>2</v>
      </c>
      <c r="E589" s="155">
        <f>SUM(F547:F588)</f>
        <v>8</v>
      </c>
      <c r="F589" s="40"/>
      <c r="G589" s="40"/>
      <c r="H589" s="283" t="s">
        <v>1274</v>
      </c>
      <c r="I589" s="53">
        <f>SUM(I547:I588)-SUM(F547:F588)</f>
        <v>90</v>
      </c>
      <c r="J589" s="53"/>
      <c r="K589" s="53">
        <f>ROUND(I589/7,0)</f>
        <v>13</v>
      </c>
      <c r="L589" s="52" t="s">
        <v>214</v>
      </c>
      <c r="M589" s="54" t="s">
        <v>216</v>
      </c>
      <c r="N589" s="123">
        <f>IF(K589&gt;0,ROUND(AG589/K589,0),0)</f>
        <v>2388</v>
      </c>
      <c r="O589" s="40"/>
      <c r="P589" s="71">
        <f>SUM(P547:P588)</f>
        <v>31692.582200000001</v>
      </c>
      <c r="Q589" s="43"/>
      <c r="R589" s="69">
        <f>AA589</f>
        <v>0</v>
      </c>
      <c r="S589" s="68" t="s">
        <v>254</v>
      </c>
      <c r="T589" s="101"/>
      <c r="U589" s="62"/>
      <c r="V589" s="42"/>
      <c r="W589" s="42"/>
      <c r="X589" s="41"/>
      <c r="Y589" s="43"/>
      <c r="Z589" s="43">
        <f>AA589</f>
        <v>0</v>
      </c>
      <c r="AA589" s="43">
        <f>SUM(AA547:AA588)</f>
        <v>0</v>
      </c>
      <c r="AB589" s="43">
        <f>SUM(AB547:AB588)</f>
        <v>1040</v>
      </c>
      <c r="AC589" s="43">
        <f>AB589</f>
        <v>1040</v>
      </c>
      <c r="AD589" s="40"/>
      <c r="AE589" s="43"/>
      <c r="AF589" s="43">
        <f>SUM(AF547:AF588)</f>
        <v>0</v>
      </c>
      <c r="AG589" s="43">
        <f>SUM(AG547:AG588)</f>
        <v>31042.582200000001</v>
      </c>
      <c r="AH589" s="71">
        <f>SUM(AH547:AH588)</f>
        <v>30652.582200000001</v>
      </c>
      <c r="AI589" s="40">
        <f>AH589</f>
        <v>30652.582200000001</v>
      </c>
      <c r="AJ589" s="104">
        <f>SUM(AJ547:AJ588)</f>
        <v>0</v>
      </c>
      <c r="AK589" s="104">
        <f>SUM(AK547:AK588)</f>
        <v>0</v>
      </c>
      <c r="AL589" s="104">
        <f>SUM(AL547:AL588)</f>
        <v>0</v>
      </c>
      <c r="AM589" s="104">
        <f>SUM(AM547:AM588)</f>
        <v>0</v>
      </c>
      <c r="AN589" s="106">
        <f>SUM(AJ589:AM589)</f>
        <v>0</v>
      </c>
      <c r="AO589" s="104">
        <f>SUM(AO547:AO588)</f>
        <v>0</v>
      </c>
      <c r="AP589" s="104">
        <f>SUM(AP547:AP588)</f>
        <v>0</v>
      </c>
      <c r="AQ589" s="104">
        <f>SUM(AQ547:AQ588)</f>
        <v>0</v>
      </c>
      <c r="AR589" s="104">
        <f>SUM(AR547:AR588)</f>
        <v>0</v>
      </c>
      <c r="AS589" s="106">
        <f>SUM(AO589:AR589)</f>
        <v>0</v>
      </c>
    </row>
    <row r="590" spans="1:45" ht="21" customHeight="1" x14ac:dyDescent="0.35">
      <c r="A590" s="105"/>
      <c r="B590" s="122">
        <v>2024</v>
      </c>
      <c r="C590" s="107"/>
      <c r="D590" s="107"/>
      <c r="E590" s="105"/>
      <c r="F590" s="105"/>
      <c r="G590" s="105"/>
      <c r="H590" s="108"/>
      <c r="I590" s="109"/>
      <c r="J590" s="109"/>
      <c r="K590" s="110"/>
      <c r="L590" s="110"/>
      <c r="M590" s="108"/>
      <c r="N590" s="111"/>
      <c r="O590" s="105"/>
      <c r="P590" s="112"/>
      <c r="Q590" s="113"/>
      <c r="R590" s="114"/>
      <c r="S590" s="115"/>
      <c r="T590" s="116"/>
      <c r="U590" s="117"/>
      <c r="V590" s="118"/>
      <c r="W590" s="118"/>
      <c r="X590" s="119"/>
      <c r="Y590" s="113"/>
      <c r="Z590" s="113"/>
      <c r="AA590" s="113"/>
      <c r="AB590" s="113"/>
      <c r="AC590" s="113"/>
      <c r="AD590" s="105"/>
      <c r="AE590" s="113"/>
      <c r="AF590" s="113"/>
      <c r="AG590" s="113"/>
      <c r="AH590" s="112"/>
      <c r="AI590" s="105"/>
      <c r="AJ590" s="96">
        <f>ROUNDUP(AJ589*0.05,0)</f>
        <v>0</v>
      </c>
      <c r="AK590" s="96">
        <f>ROUNDUP(AK589*0.05,0)</f>
        <v>0</v>
      </c>
      <c r="AL590" s="96">
        <f>ROUNDUP(AL589*0.05,0)</f>
        <v>0</v>
      </c>
      <c r="AM590" s="96">
        <f>ROUNDUP(AM589*0.05,0)</f>
        <v>0</v>
      </c>
      <c r="AN590" s="106">
        <f>SUM(AJ590:AM590)</f>
        <v>0</v>
      </c>
      <c r="AO590" s="96">
        <f>ROUNDUP(AO589*0.06,0)</f>
        <v>0</v>
      </c>
      <c r="AP590" s="96">
        <f>ROUNDUP(AP589*0.06,0)</f>
        <v>0</v>
      </c>
      <c r="AQ590" s="96">
        <f>ROUNDUP(AQ589*0.06,0)</f>
        <v>0</v>
      </c>
      <c r="AR590" s="96">
        <f>ROUNDUP(AR589*0.06,0)</f>
        <v>0</v>
      </c>
      <c r="AS590" s="106">
        <f>SUM(AO590:AR590)</f>
        <v>0</v>
      </c>
    </row>
    <row r="591" spans="1:45" ht="18.75" x14ac:dyDescent="0.35">
      <c r="B591" s="233"/>
      <c r="F591">
        <f>IF(E591=$B$12,I591,0)</f>
        <v>0</v>
      </c>
      <c r="G591">
        <f>IF(F591&gt;0,0,1)</f>
        <v>1</v>
      </c>
      <c r="I591" s="121"/>
      <c r="N591" s="4" t="s">
        <v>36</v>
      </c>
      <c r="P591" s="191">
        <v>0</v>
      </c>
      <c r="Q591" s="165">
        <v>0</v>
      </c>
      <c r="R591">
        <v>0</v>
      </c>
      <c r="S591" s="6"/>
      <c r="T591" s="61"/>
      <c r="U591" s="61">
        <f t="shared" ref="U591:U605" si="620">IF(V591=$AE$2,47,IF(V591=$AE$1,ROUND(((P591+500)*0.039),0),IF(V591=$AE$3,0)))</f>
        <v>0</v>
      </c>
      <c r="V591" s="7" t="str">
        <f t="shared" ref="V591:V601" si="621">IF(W591=1,$AE$2,IF(W591=2,$AE$1,IF(AND(W591&lt;&gt;1,W591&lt;&gt;20)=TRUE,$AE$3)))</f>
        <v>NONE</v>
      </c>
      <c r="W591" s="56"/>
      <c r="X591" s="5"/>
      <c r="Y591" s="61">
        <f t="shared" ref="Y591:Y632" si="622">R591+Q591</f>
        <v>0</v>
      </c>
      <c r="Z591" s="61"/>
      <c r="AA591" s="1">
        <f t="shared" ref="AA591:AA632" si="623">IF(X591=$AA$1,R591-500, IF(S591="SITE",R591, IF(X591="A/D/F1/500",R591, 0)))</f>
        <v>0</v>
      </c>
      <c r="AB591" s="1">
        <f t="shared" ref="AB591:AB601" si="624">IF(I591&gt;0,130,0)</f>
        <v>0</v>
      </c>
      <c r="AC591" s="1"/>
      <c r="AD591" s="65">
        <f t="shared" ref="AD591:AD601" si="625">(P591+U591)-AB591</f>
        <v>0</v>
      </c>
      <c r="AE591" s="1"/>
      <c r="AF591" s="1">
        <f t="shared" ref="AF591:AF601" si="626">IF(I591&gt;0,30*G591,0)</f>
        <v>0</v>
      </c>
      <c r="AG591" s="1">
        <f>IF(AH591&gt;0,AH461:AH591,0)</f>
        <v>0</v>
      </c>
      <c r="AH591" s="1">
        <f t="shared" ref="AH591:AH597" si="627">AD591-AF591</f>
        <v>0</v>
      </c>
      <c r="AJ591">
        <f t="shared" ref="AJ591:AJ597" si="628">IF(T591=1,P591-U591,0)</f>
        <v>0</v>
      </c>
      <c r="AK591">
        <f t="shared" ref="AK591:AK597" si="629">IF(T591=2,P591-U591,0)</f>
        <v>0</v>
      </c>
      <c r="AL591">
        <f t="shared" ref="AL591:AL597" si="630">IF(T591=3,P591-U591,0)</f>
        <v>0</v>
      </c>
      <c r="AM591">
        <f t="shared" ref="AM591:AM597" si="631">IF(T591=4,P591-U591,0)</f>
        <v>0</v>
      </c>
      <c r="AO591">
        <f t="shared" ref="AO591:AO597" si="632">IF(T591=1,P591-U591,0)</f>
        <v>0</v>
      </c>
      <c r="AP591">
        <f t="shared" ref="AP591:AP597" si="633">IF(T591=2,P591-U591,0)</f>
        <v>0</v>
      </c>
      <c r="AQ591">
        <f t="shared" ref="AQ591:AQ597" si="634">IF(T591=3,P591-U591,0)</f>
        <v>0</v>
      </c>
      <c r="AR591">
        <f t="shared" ref="AR591:AR597" si="635">IF(T591=4,P591-U591,0)</f>
        <v>0</v>
      </c>
    </row>
    <row r="592" spans="1:45" x14ac:dyDescent="0.25">
      <c r="B592" s="299"/>
      <c r="C592" s="248"/>
      <c r="D592" s="249"/>
      <c r="E592" s="248"/>
      <c r="F592" s="248"/>
      <c r="G592" s="248"/>
      <c r="H592" s="248"/>
      <c r="I592" s="250"/>
      <c r="J592" s="248"/>
      <c r="K592" s="248"/>
      <c r="L592" s="248"/>
      <c r="M592" s="280"/>
      <c r="N592" s="4" t="s">
        <v>36</v>
      </c>
      <c r="P592" s="191">
        <v>0</v>
      </c>
      <c r="Q592" s="165">
        <v>0</v>
      </c>
      <c r="R592">
        <v>0</v>
      </c>
      <c r="S592" s="6"/>
      <c r="T592" s="61"/>
      <c r="U592" s="61">
        <f t="shared" si="620"/>
        <v>0</v>
      </c>
      <c r="V592" s="7" t="str">
        <f t="shared" si="621"/>
        <v>NONE</v>
      </c>
      <c r="W592" s="56"/>
      <c r="X592" s="5"/>
      <c r="Y592" s="61">
        <f t="shared" si="622"/>
        <v>0</v>
      </c>
      <c r="Z592" s="61"/>
      <c r="AA592" s="1">
        <f t="shared" si="623"/>
        <v>0</v>
      </c>
      <c r="AB592" s="1">
        <f t="shared" si="624"/>
        <v>0</v>
      </c>
      <c r="AC592" s="1"/>
      <c r="AD592" s="65">
        <f t="shared" si="625"/>
        <v>0</v>
      </c>
      <c r="AE592" s="1"/>
      <c r="AF592" s="1">
        <f t="shared" si="626"/>
        <v>0</v>
      </c>
      <c r="AG592" s="1">
        <f>IF(AH592&gt;0,AH445:AH592,0)</f>
        <v>0</v>
      </c>
      <c r="AH592" s="1">
        <f t="shared" si="627"/>
        <v>0</v>
      </c>
      <c r="AJ592">
        <f t="shared" si="628"/>
        <v>0</v>
      </c>
      <c r="AK592">
        <f t="shared" si="629"/>
        <v>0</v>
      </c>
      <c r="AL592">
        <f t="shared" si="630"/>
        <v>0</v>
      </c>
      <c r="AM592">
        <f t="shared" si="631"/>
        <v>0</v>
      </c>
      <c r="AO592">
        <f t="shared" si="632"/>
        <v>0</v>
      </c>
      <c r="AP592">
        <f t="shared" si="633"/>
        <v>0</v>
      </c>
      <c r="AQ592">
        <f t="shared" si="634"/>
        <v>0</v>
      </c>
      <c r="AR592">
        <f t="shared" si="635"/>
        <v>0</v>
      </c>
    </row>
    <row r="593" spans="2:44" x14ac:dyDescent="0.25">
      <c r="B593" s="83" t="s">
        <v>82</v>
      </c>
      <c r="C593" s="253"/>
      <c r="D593" s="253"/>
      <c r="E593" s="248" t="s">
        <v>42</v>
      </c>
      <c r="F593" s="248">
        <v>8</v>
      </c>
      <c r="G593" s="248">
        <v>0</v>
      </c>
      <c r="H593" s="248" t="s">
        <v>1476</v>
      </c>
      <c r="I593" s="250">
        <v>3</v>
      </c>
      <c r="J593" s="248"/>
      <c r="K593" s="248"/>
      <c r="L593" s="248"/>
      <c r="M593" s="280"/>
      <c r="N593" s="4" t="s">
        <v>36</v>
      </c>
      <c r="P593" s="191">
        <v>0</v>
      </c>
      <c r="Q593" s="165">
        <v>0</v>
      </c>
      <c r="R593">
        <v>0</v>
      </c>
      <c r="S593" s="6"/>
      <c r="T593" s="61"/>
      <c r="U593" s="61">
        <f t="shared" si="620"/>
        <v>0</v>
      </c>
      <c r="V593" s="7" t="str">
        <f t="shared" si="621"/>
        <v>NONE</v>
      </c>
      <c r="W593" s="56"/>
      <c r="X593" s="5"/>
      <c r="Y593" s="61">
        <f t="shared" si="622"/>
        <v>0</v>
      </c>
      <c r="Z593" s="61"/>
      <c r="AA593" s="1">
        <f t="shared" si="623"/>
        <v>0</v>
      </c>
      <c r="AB593" s="1">
        <f t="shared" si="624"/>
        <v>130</v>
      </c>
      <c r="AC593" s="1"/>
      <c r="AD593" s="65">
        <f t="shared" si="625"/>
        <v>-130</v>
      </c>
      <c r="AE593" s="1"/>
      <c r="AF593" s="1">
        <f t="shared" si="626"/>
        <v>0</v>
      </c>
      <c r="AG593" s="1">
        <f>IF(AH593&gt;0,AH447:AH593,0)</f>
        <v>0</v>
      </c>
      <c r="AH593" s="1">
        <f t="shared" si="627"/>
        <v>-130</v>
      </c>
      <c r="AJ593">
        <f t="shared" si="628"/>
        <v>0</v>
      </c>
      <c r="AK593">
        <f t="shared" si="629"/>
        <v>0</v>
      </c>
      <c r="AL593">
        <f t="shared" si="630"/>
        <v>0</v>
      </c>
      <c r="AM593">
        <f t="shared" si="631"/>
        <v>0</v>
      </c>
      <c r="AO593">
        <f t="shared" si="632"/>
        <v>0</v>
      </c>
      <c r="AP593">
        <f t="shared" si="633"/>
        <v>0</v>
      </c>
      <c r="AQ593">
        <f t="shared" si="634"/>
        <v>0</v>
      </c>
      <c r="AR593">
        <f t="shared" si="635"/>
        <v>0</v>
      </c>
    </row>
    <row r="594" spans="2:44" x14ac:dyDescent="0.25">
      <c r="B594" s="253"/>
      <c r="C594" s="248"/>
      <c r="D594" s="249"/>
      <c r="E594" s="287"/>
      <c r="F594" s="248"/>
      <c r="G594" s="248"/>
      <c r="H594" s="250"/>
      <c r="I594" s="250"/>
      <c r="J594" s="248"/>
      <c r="K594" s="248"/>
      <c r="L594" s="248"/>
      <c r="M594" s="280"/>
      <c r="N594" s="4" t="s">
        <v>36</v>
      </c>
      <c r="P594" s="191">
        <v>0</v>
      </c>
      <c r="Q594" s="165">
        <v>0</v>
      </c>
      <c r="R594">
        <v>0</v>
      </c>
      <c r="S594" s="6"/>
      <c r="T594" s="61"/>
      <c r="U594" s="61">
        <f t="shared" si="620"/>
        <v>0</v>
      </c>
      <c r="V594" s="7" t="str">
        <f t="shared" si="621"/>
        <v>NONE</v>
      </c>
      <c r="W594" s="56"/>
      <c r="X594" s="5"/>
      <c r="Y594" s="61">
        <f t="shared" si="622"/>
        <v>0</v>
      </c>
      <c r="Z594" s="61"/>
      <c r="AA594" s="1">
        <f t="shared" si="623"/>
        <v>0</v>
      </c>
      <c r="AB594" s="1">
        <f t="shared" si="624"/>
        <v>0</v>
      </c>
      <c r="AC594" s="1"/>
      <c r="AD594" s="65">
        <f t="shared" si="625"/>
        <v>0</v>
      </c>
      <c r="AE594" s="1"/>
      <c r="AF594" s="1">
        <f t="shared" si="626"/>
        <v>0</v>
      </c>
      <c r="AG594" s="1">
        <f>IF(AH594&gt;0,AH445:AH607,0)</f>
        <v>0</v>
      </c>
      <c r="AH594" s="1">
        <f t="shared" si="627"/>
        <v>0</v>
      </c>
      <c r="AJ594">
        <f t="shared" si="628"/>
        <v>0</v>
      </c>
      <c r="AK594">
        <f t="shared" si="629"/>
        <v>0</v>
      </c>
      <c r="AL594">
        <f t="shared" si="630"/>
        <v>0</v>
      </c>
      <c r="AM594">
        <f t="shared" si="631"/>
        <v>0</v>
      </c>
      <c r="AO594">
        <f t="shared" si="632"/>
        <v>0</v>
      </c>
      <c r="AP594">
        <f t="shared" si="633"/>
        <v>0</v>
      </c>
      <c r="AQ594">
        <f t="shared" si="634"/>
        <v>0</v>
      </c>
      <c r="AR594">
        <f t="shared" si="635"/>
        <v>0</v>
      </c>
    </row>
    <row r="595" spans="2:44" x14ac:dyDescent="0.25">
      <c r="B595" s="250"/>
      <c r="C595" s="248"/>
      <c r="D595" s="249"/>
      <c r="E595" s="287"/>
      <c r="F595" s="248"/>
      <c r="G595" s="248"/>
      <c r="H595" s="248"/>
      <c r="I595" s="250"/>
      <c r="J595" s="248"/>
      <c r="K595" s="248"/>
      <c r="L595" s="248"/>
      <c r="M595" s="280"/>
      <c r="N595" s="4" t="s">
        <v>36</v>
      </c>
      <c r="P595" s="191">
        <v>0</v>
      </c>
      <c r="Q595" s="165">
        <v>0</v>
      </c>
      <c r="R595">
        <v>0</v>
      </c>
      <c r="S595" s="352" t="s">
        <v>1478</v>
      </c>
      <c r="T595" s="61"/>
      <c r="U595" s="61">
        <f t="shared" si="620"/>
        <v>0</v>
      </c>
      <c r="V595" s="7" t="str">
        <f t="shared" si="621"/>
        <v>NONE</v>
      </c>
      <c r="W595" s="56"/>
      <c r="X595" s="5"/>
      <c r="Y595" s="61">
        <f t="shared" si="622"/>
        <v>0</v>
      </c>
      <c r="Z595" s="61"/>
      <c r="AA595" s="1">
        <f t="shared" si="623"/>
        <v>0</v>
      </c>
      <c r="AB595" s="1">
        <f t="shared" si="624"/>
        <v>0</v>
      </c>
      <c r="AC595" s="1"/>
      <c r="AD595" s="65">
        <f t="shared" si="625"/>
        <v>0</v>
      </c>
      <c r="AE595" s="1"/>
      <c r="AF595" s="1">
        <f t="shared" si="626"/>
        <v>0</v>
      </c>
      <c r="AG595" s="1">
        <f>IF(AH595&gt;0,AH446:AH608,0)</f>
        <v>0</v>
      </c>
      <c r="AH595" s="1">
        <f t="shared" si="627"/>
        <v>0</v>
      </c>
      <c r="AJ595">
        <f t="shared" si="628"/>
        <v>0</v>
      </c>
      <c r="AK595">
        <f t="shared" si="629"/>
        <v>0</v>
      </c>
      <c r="AL595">
        <f t="shared" si="630"/>
        <v>0</v>
      </c>
      <c r="AM595">
        <f t="shared" si="631"/>
        <v>0</v>
      </c>
      <c r="AO595">
        <f t="shared" si="632"/>
        <v>0</v>
      </c>
      <c r="AP595">
        <f t="shared" si="633"/>
        <v>0</v>
      </c>
      <c r="AQ595">
        <f t="shared" si="634"/>
        <v>0</v>
      </c>
      <c r="AR595">
        <f t="shared" si="635"/>
        <v>0</v>
      </c>
    </row>
    <row r="596" spans="2:44" x14ac:dyDescent="0.25">
      <c r="B596" s="250"/>
      <c r="C596" s="248"/>
      <c r="D596" s="249"/>
      <c r="E596" s="248"/>
      <c r="F596" s="248"/>
      <c r="G596" s="248"/>
      <c r="H596" s="248"/>
      <c r="I596" s="250"/>
      <c r="J596" s="248"/>
      <c r="K596" s="248"/>
      <c r="L596" s="248"/>
      <c r="M596" s="280"/>
      <c r="N596" s="4" t="s">
        <v>36</v>
      </c>
      <c r="P596" s="191">
        <v>0</v>
      </c>
      <c r="Q596" s="165">
        <v>0</v>
      </c>
      <c r="R596">
        <v>0</v>
      </c>
      <c r="S596" s="279"/>
      <c r="T596" s="314"/>
      <c r="U596" s="61">
        <f t="shared" si="620"/>
        <v>0</v>
      </c>
      <c r="V596" s="7" t="str">
        <f t="shared" si="621"/>
        <v>NONE</v>
      </c>
      <c r="W596" s="56"/>
      <c r="X596" s="5"/>
      <c r="Y596" s="61">
        <f t="shared" si="622"/>
        <v>0</v>
      </c>
      <c r="Z596" s="61"/>
      <c r="AA596" s="1">
        <f t="shared" si="623"/>
        <v>0</v>
      </c>
      <c r="AB596" s="1">
        <f t="shared" si="624"/>
        <v>0</v>
      </c>
      <c r="AC596" s="1"/>
      <c r="AD596" s="65">
        <f t="shared" si="625"/>
        <v>0</v>
      </c>
      <c r="AE596" s="1"/>
      <c r="AF596" s="1">
        <f t="shared" si="626"/>
        <v>0</v>
      </c>
      <c r="AG596" s="1">
        <f>IF(AH596&gt;0,AH447:AH596,0)</f>
        <v>0</v>
      </c>
      <c r="AH596" s="1">
        <f t="shared" si="627"/>
        <v>0</v>
      </c>
      <c r="AJ596">
        <f t="shared" si="628"/>
        <v>0</v>
      </c>
      <c r="AK596">
        <f t="shared" si="629"/>
        <v>0</v>
      </c>
      <c r="AL596">
        <f t="shared" si="630"/>
        <v>0</v>
      </c>
      <c r="AM596">
        <f t="shared" si="631"/>
        <v>0</v>
      </c>
      <c r="AO596">
        <f t="shared" si="632"/>
        <v>0</v>
      </c>
      <c r="AP596">
        <f t="shared" si="633"/>
        <v>0</v>
      </c>
      <c r="AQ596">
        <f t="shared" si="634"/>
        <v>0</v>
      </c>
      <c r="AR596">
        <f t="shared" si="635"/>
        <v>0</v>
      </c>
    </row>
    <row r="597" spans="2:44" ht="17.45" customHeight="1" x14ac:dyDescent="0.4">
      <c r="B597" s="83" t="s">
        <v>82</v>
      </c>
      <c r="D597" s="300"/>
      <c r="E597" s="248" t="s">
        <v>42</v>
      </c>
      <c r="F597" s="248"/>
      <c r="G597" s="248"/>
      <c r="H597" s="250" t="s">
        <v>1477</v>
      </c>
      <c r="I597" s="250">
        <v>4</v>
      </c>
      <c r="J597" s="248"/>
      <c r="K597" s="248"/>
      <c r="L597" s="248"/>
      <c r="M597" s="301"/>
      <c r="N597" s="4" t="s">
        <v>36</v>
      </c>
      <c r="P597" s="191">
        <v>0</v>
      </c>
      <c r="Q597" s="165">
        <v>0</v>
      </c>
      <c r="R597">
        <v>0</v>
      </c>
      <c r="S597" s="279"/>
      <c r="T597" s="314"/>
      <c r="U597" s="61">
        <f t="shared" si="620"/>
        <v>0</v>
      </c>
      <c r="V597" s="7" t="str">
        <f t="shared" si="621"/>
        <v>NONE</v>
      </c>
      <c r="W597" s="56"/>
      <c r="X597" s="5"/>
      <c r="Y597" s="61">
        <f t="shared" si="622"/>
        <v>0</v>
      </c>
      <c r="Z597" s="61"/>
      <c r="AA597" s="1">
        <f t="shared" si="623"/>
        <v>0</v>
      </c>
      <c r="AB597" s="1">
        <f t="shared" si="624"/>
        <v>130</v>
      </c>
      <c r="AC597" s="1"/>
      <c r="AD597" s="65">
        <f t="shared" si="625"/>
        <v>-130</v>
      </c>
      <c r="AE597" s="1"/>
      <c r="AF597" s="1">
        <f t="shared" si="626"/>
        <v>0</v>
      </c>
      <c r="AG597" s="1">
        <f>IF(AH597&gt;0,AH457:AH597,0)</f>
        <v>0</v>
      </c>
      <c r="AH597" s="1">
        <f t="shared" si="627"/>
        <v>-130</v>
      </c>
      <c r="AJ597">
        <f t="shared" si="628"/>
        <v>0</v>
      </c>
      <c r="AK597">
        <f t="shared" si="629"/>
        <v>0</v>
      </c>
      <c r="AL597">
        <f t="shared" si="630"/>
        <v>0</v>
      </c>
      <c r="AM597">
        <f t="shared" si="631"/>
        <v>0</v>
      </c>
      <c r="AO597">
        <f t="shared" si="632"/>
        <v>0</v>
      </c>
      <c r="AP597">
        <f t="shared" si="633"/>
        <v>0</v>
      </c>
      <c r="AQ597">
        <f t="shared" si="634"/>
        <v>0</v>
      </c>
      <c r="AR597">
        <f t="shared" si="635"/>
        <v>0</v>
      </c>
    </row>
    <row r="598" spans="2:44" x14ac:dyDescent="0.25">
      <c r="B598" s="253"/>
      <c r="C598" s="282"/>
      <c r="D598" s="254"/>
      <c r="E598" s="248"/>
      <c r="F598" s="248"/>
      <c r="G598" s="248"/>
      <c r="H598" s="248"/>
      <c r="I598" s="250"/>
      <c r="J598" s="248"/>
      <c r="K598" s="248"/>
      <c r="L598" s="248"/>
      <c r="M598" s="280"/>
      <c r="N598" s="4" t="s">
        <v>36</v>
      </c>
      <c r="P598" s="191">
        <v>0</v>
      </c>
      <c r="Q598" s="165">
        <v>0</v>
      </c>
      <c r="R598">
        <v>0</v>
      </c>
      <c r="S598" s="315"/>
      <c r="T598" s="314"/>
      <c r="U598" s="61">
        <f t="shared" si="620"/>
        <v>0</v>
      </c>
      <c r="V598" s="7" t="str">
        <f t="shared" si="621"/>
        <v>NONE</v>
      </c>
      <c r="W598" s="56"/>
      <c r="X598" s="5"/>
      <c r="Y598" s="61">
        <f t="shared" si="622"/>
        <v>0</v>
      </c>
      <c r="Z598" s="61"/>
      <c r="AA598" s="1">
        <f t="shared" si="623"/>
        <v>0</v>
      </c>
      <c r="AB598" s="1">
        <f t="shared" si="624"/>
        <v>0</v>
      </c>
      <c r="AC598" s="1"/>
      <c r="AD598" s="65">
        <f t="shared" si="625"/>
        <v>0</v>
      </c>
      <c r="AE598" s="1"/>
      <c r="AF598" s="1">
        <f t="shared" si="626"/>
        <v>0</v>
      </c>
      <c r="AG598" s="1">
        <f>IF(AH598&gt;0,AH436:AH598,0)</f>
        <v>0</v>
      </c>
      <c r="AH598" s="1">
        <f t="shared" ref="AH598:AH612" si="636">AD598-AF598</f>
        <v>0</v>
      </c>
      <c r="AJ598">
        <f t="shared" ref="AJ598:AJ612" si="637">IF(T598=1,P598-U598,0)</f>
        <v>0</v>
      </c>
      <c r="AK598">
        <f t="shared" ref="AK598:AK612" si="638">IF(T598=2,P598-U598,0)</f>
        <v>0</v>
      </c>
      <c r="AL598">
        <f t="shared" ref="AL598:AL612" si="639">IF(T598=3,P598-U598,0)</f>
        <v>0</v>
      </c>
      <c r="AM598">
        <f t="shared" ref="AM598:AM612" si="640">IF(T598=4,P598-U598,0)</f>
        <v>0</v>
      </c>
      <c r="AO598">
        <f t="shared" ref="AO598:AO612" si="641">IF(T598=1,P598-U598,0)</f>
        <v>0</v>
      </c>
      <c r="AP598">
        <f t="shared" ref="AP598:AP612" si="642">IF(T598=2,P598-U598,0)</f>
        <v>0</v>
      </c>
      <c r="AQ598">
        <f t="shared" ref="AQ598:AQ612" si="643">IF(T598=3,P598-U598,0)</f>
        <v>0</v>
      </c>
      <c r="AR598">
        <f t="shared" ref="AR598:AR612" si="644">IF(T598=4,P598-U598,0)</f>
        <v>0</v>
      </c>
    </row>
    <row r="599" spans="2:44" ht="16.5" x14ac:dyDescent="0.3">
      <c r="B599" s="251"/>
      <c r="C599" s="303"/>
      <c r="D599" s="248"/>
      <c r="E599" s="287"/>
      <c r="F599" s="248"/>
      <c r="G599" s="248"/>
      <c r="H599" s="248"/>
      <c r="I599" s="250"/>
      <c r="J599" s="248"/>
      <c r="K599" s="248"/>
      <c r="L599" s="248"/>
      <c r="M599" s="280"/>
      <c r="N599" s="4" t="s">
        <v>36</v>
      </c>
      <c r="P599" s="191">
        <v>0</v>
      </c>
      <c r="Q599" s="165">
        <v>0</v>
      </c>
      <c r="R599">
        <v>0</v>
      </c>
      <c r="S599" s="353"/>
      <c r="T599" s="314"/>
      <c r="U599" s="61">
        <f t="shared" si="620"/>
        <v>0</v>
      </c>
      <c r="V599" s="7" t="str">
        <f t="shared" si="621"/>
        <v>NONE</v>
      </c>
      <c r="W599" s="56"/>
      <c r="X599" s="5"/>
      <c r="Y599" s="61">
        <f t="shared" si="622"/>
        <v>0</v>
      </c>
      <c r="Z599" s="61"/>
      <c r="AA599" s="1">
        <f t="shared" si="623"/>
        <v>0</v>
      </c>
      <c r="AB599" s="1">
        <f t="shared" si="624"/>
        <v>0</v>
      </c>
      <c r="AC599" s="1"/>
      <c r="AD599" s="65">
        <f t="shared" si="625"/>
        <v>0</v>
      </c>
      <c r="AE599" s="1"/>
      <c r="AF599" s="1">
        <f t="shared" si="626"/>
        <v>0</v>
      </c>
      <c r="AG599" s="1">
        <f>IF(AH599&gt;0,AH448:AH599,0)</f>
        <v>0</v>
      </c>
      <c r="AH599" s="1">
        <f t="shared" si="636"/>
        <v>0</v>
      </c>
      <c r="AJ599">
        <f t="shared" si="637"/>
        <v>0</v>
      </c>
      <c r="AK599">
        <f t="shared" si="638"/>
        <v>0</v>
      </c>
      <c r="AL599">
        <f t="shared" si="639"/>
        <v>0</v>
      </c>
      <c r="AM599">
        <f t="shared" si="640"/>
        <v>0</v>
      </c>
      <c r="AO599">
        <f t="shared" si="641"/>
        <v>0</v>
      </c>
      <c r="AP599">
        <f t="shared" si="642"/>
        <v>0</v>
      </c>
      <c r="AQ599">
        <f t="shared" si="643"/>
        <v>0</v>
      </c>
      <c r="AR599">
        <f t="shared" si="644"/>
        <v>0</v>
      </c>
    </row>
    <row r="600" spans="2:44" x14ac:dyDescent="0.25">
      <c r="B600" s="302"/>
      <c r="C600" s="248"/>
      <c r="D600" s="248"/>
      <c r="E600" s="287"/>
      <c r="F600" s="248"/>
      <c r="G600" s="248"/>
      <c r="H600" s="250"/>
      <c r="I600" s="250"/>
      <c r="J600" s="248"/>
      <c r="K600" s="250"/>
      <c r="L600" s="248"/>
      <c r="M600" s="301"/>
      <c r="N600" s="4" t="s">
        <v>36</v>
      </c>
      <c r="P600" s="191">
        <v>0</v>
      </c>
      <c r="Q600" s="165">
        <v>0</v>
      </c>
      <c r="R600">
        <v>0</v>
      </c>
      <c r="S600" s="315"/>
      <c r="T600" s="314"/>
      <c r="U600" s="61">
        <f t="shared" si="620"/>
        <v>0</v>
      </c>
      <c r="V600" s="7" t="str">
        <f t="shared" si="621"/>
        <v>NONE</v>
      </c>
      <c r="W600" s="56"/>
      <c r="X600" s="5"/>
      <c r="Y600" s="61">
        <f t="shared" si="622"/>
        <v>0</v>
      </c>
      <c r="Z600" s="61"/>
      <c r="AA600" s="1">
        <f t="shared" si="623"/>
        <v>0</v>
      </c>
      <c r="AB600" s="1">
        <f t="shared" si="624"/>
        <v>0</v>
      </c>
      <c r="AC600" s="1"/>
      <c r="AD600" s="65">
        <f t="shared" si="625"/>
        <v>0</v>
      </c>
      <c r="AE600" s="1"/>
      <c r="AF600" s="1">
        <f t="shared" si="626"/>
        <v>0</v>
      </c>
      <c r="AG600" s="1">
        <f>IF(AH600&gt;0,AH450:AH612,0)</f>
        <v>0</v>
      </c>
      <c r="AH600" s="1">
        <f t="shared" si="636"/>
        <v>0</v>
      </c>
      <c r="AJ600">
        <f t="shared" si="637"/>
        <v>0</v>
      </c>
      <c r="AK600">
        <f t="shared" si="638"/>
        <v>0</v>
      </c>
      <c r="AL600">
        <f t="shared" si="639"/>
        <v>0</v>
      </c>
      <c r="AM600">
        <f t="shared" si="640"/>
        <v>0</v>
      </c>
      <c r="AO600">
        <f t="shared" si="641"/>
        <v>0</v>
      </c>
      <c r="AP600">
        <f t="shared" si="642"/>
        <v>0</v>
      </c>
      <c r="AQ600">
        <f t="shared" si="643"/>
        <v>0</v>
      </c>
      <c r="AR600">
        <f t="shared" si="644"/>
        <v>0</v>
      </c>
    </row>
    <row r="601" spans="2:44" ht="19.149999999999999" customHeight="1" x14ac:dyDescent="0.4">
      <c r="B601" s="83" t="s">
        <v>82</v>
      </c>
      <c r="C601" s="300"/>
      <c r="D601" s="300"/>
      <c r="E601" s="248"/>
      <c r="F601" s="248"/>
      <c r="G601" s="248"/>
      <c r="H601" s="248"/>
      <c r="I601" s="250"/>
      <c r="J601" s="248"/>
      <c r="K601" s="248"/>
      <c r="L601" s="248"/>
      <c r="M601" s="280"/>
      <c r="N601" s="4" t="s">
        <v>36</v>
      </c>
      <c r="P601" s="191">
        <v>0</v>
      </c>
      <c r="Q601" s="165">
        <v>0</v>
      </c>
      <c r="R601">
        <v>0</v>
      </c>
      <c r="S601" s="279"/>
      <c r="T601" s="314"/>
      <c r="U601" s="61">
        <f t="shared" si="620"/>
        <v>0</v>
      </c>
      <c r="V601" s="7" t="str">
        <f t="shared" si="621"/>
        <v>NONE</v>
      </c>
      <c r="W601" s="56"/>
      <c r="X601" s="5"/>
      <c r="Y601" s="61">
        <f t="shared" si="622"/>
        <v>0</v>
      </c>
      <c r="Z601" s="61"/>
      <c r="AA601" s="1">
        <f t="shared" si="623"/>
        <v>0</v>
      </c>
      <c r="AB601" s="1">
        <f t="shared" si="624"/>
        <v>0</v>
      </c>
      <c r="AC601" s="1"/>
      <c r="AD601" s="65">
        <f t="shared" si="625"/>
        <v>0</v>
      </c>
      <c r="AE601" s="1"/>
      <c r="AF601" s="1">
        <f t="shared" si="626"/>
        <v>0</v>
      </c>
      <c r="AG601" s="1">
        <f>IF(AH601&gt;0,AH449:AH601,0)</f>
        <v>0</v>
      </c>
      <c r="AH601" s="1">
        <f t="shared" si="636"/>
        <v>0</v>
      </c>
      <c r="AJ601">
        <f t="shared" si="637"/>
        <v>0</v>
      </c>
      <c r="AK601">
        <f t="shared" si="638"/>
        <v>0</v>
      </c>
      <c r="AL601">
        <f t="shared" si="639"/>
        <v>0</v>
      </c>
      <c r="AM601">
        <f t="shared" si="640"/>
        <v>0</v>
      </c>
      <c r="AO601">
        <f t="shared" si="641"/>
        <v>0</v>
      </c>
      <c r="AP601">
        <f t="shared" si="642"/>
        <v>0</v>
      </c>
      <c r="AQ601">
        <f t="shared" si="643"/>
        <v>0</v>
      </c>
      <c r="AR601">
        <f t="shared" si="644"/>
        <v>0</v>
      </c>
    </row>
    <row r="602" spans="2:44" x14ac:dyDescent="0.25">
      <c r="B602" s="248"/>
      <c r="C602" s="248"/>
      <c r="D602" s="248"/>
      <c r="E602" s="248"/>
      <c r="F602" s="248"/>
      <c r="G602" s="248"/>
      <c r="H602" s="278"/>
      <c r="I602" s="250"/>
      <c r="J602" s="304"/>
      <c r="K602" s="248"/>
      <c r="L602" s="248"/>
      <c r="M602" s="278"/>
      <c r="N602" s="4" t="s">
        <v>36</v>
      </c>
      <c r="P602" s="191">
        <v>0</v>
      </c>
      <c r="Q602" s="165">
        <v>0</v>
      </c>
      <c r="R602">
        <v>0</v>
      </c>
      <c r="S602" s="315"/>
      <c r="T602" s="314"/>
      <c r="U602" s="61">
        <f t="shared" si="620"/>
        <v>0</v>
      </c>
      <c r="V602" s="7" t="str">
        <f t="shared" ref="V602:V612" si="645">IF(W602=1,$AE$2,IF(W602=2,$AE$1,IF(AND(W602&lt;&gt;1,W602&lt;&gt;20)=TRUE,$AE$3)))</f>
        <v>NONE</v>
      </c>
      <c r="W602" s="56"/>
      <c r="X602" s="5"/>
      <c r="Y602" s="61">
        <f t="shared" si="622"/>
        <v>0</v>
      </c>
      <c r="Z602" s="61"/>
      <c r="AA602" s="1">
        <f t="shared" si="623"/>
        <v>0</v>
      </c>
      <c r="AB602" s="1">
        <f t="shared" ref="AB602:AB612" si="646">IF(I602&gt;0,130,0)</f>
        <v>0</v>
      </c>
      <c r="AC602" s="1"/>
      <c r="AD602" s="65">
        <f t="shared" ref="AD602:AD612" si="647">(P602+U602)-AB602</f>
        <v>0</v>
      </c>
      <c r="AE602" s="1"/>
      <c r="AF602" s="1">
        <f t="shared" ref="AF602:AF612" si="648">IF(I602&gt;0,30*G602,0)</f>
        <v>0</v>
      </c>
      <c r="AG602" s="1">
        <f>IF(AH602&gt;0,AH459:AH602,0)</f>
        <v>0</v>
      </c>
      <c r="AH602" s="1">
        <f t="shared" si="636"/>
        <v>0</v>
      </c>
      <c r="AJ602">
        <f t="shared" si="637"/>
        <v>0</v>
      </c>
      <c r="AK602">
        <f t="shared" si="638"/>
        <v>0</v>
      </c>
      <c r="AL602">
        <f t="shared" si="639"/>
        <v>0</v>
      </c>
      <c r="AM602">
        <f t="shared" si="640"/>
        <v>0</v>
      </c>
      <c r="AO602">
        <f t="shared" si="641"/>
        <v>0</v>
      </c>
      <c r="AP602">
        <f t="shared" si="642"/>
        <v>0</v>
      </c>
      <c r="AQ602">
        <f t="shared" si="643"/>
        <v>0</v>
      </c>
      <c r="AR602">
        <f t="shared" si="644"/>
        <v>0</v>
      </c>
    </row>
    <row r="603" spans="2:44" ht="16.5" x14ac:dyDescent="0.3">
      <c r="B603" s="251"/>
      <c r="C603" s="248"/>
      <c r="D603" s="248"/>
      <c r="E603" s="287"/>
      <c r="F603" s="248"/>
      <c r="G603" s="248"/>
      <c r="H603" s="248"/>
      <c r="I603" s="250"/>
      <c r="J603" s="248"/>
      <c r="K603" s="248"/>
      <c r="L603" s="248"/>
      <c r="M603" s="280"/>
      <c r="N603" s="4" t="s">
        <v>36</v>
      </c>
      <c r="P603" s="191">
        <v>0</v>
      </c>
      <c r="Q603" s="165">
        <v>0</v>
      </c>
      <c r="R603">
        <v>0</v>
      </c>
      <c r="S603" s="315"/>
      <c r="T603" s="314"/>
      <c r="U603" s="61">
        <f t="shared" si="620"/>
        <v>0</v>
      </c>
      <c r="V603" s="7" t="str">
        <f t="shared" si="645"/>
        <v>NONE</v>
      </c>
      <c r="W603" s="56"/>
      <c r="X603" s="5"/>
      <c r="Y603" s="61">
        <f t="shared" si="622"/>
        <v>0</v>
      </c>
      <c r="Z603" s="61"/>
      <c r="AA603" s="1">
        <f t="shared" si="623"/>
        <v>0</v>
      </c>
      <c r="AB603" s="1">
        <f t="shared" si="646"/>
        <v>0</v>
      </c>
      <c r="AC603" s="1"/>
      <c r="AD603" s="65">
        <f t="shared" si="647"/>
        <v>0</v>
      </c>
      <c r="AE603" s="1"/>
      <c r="AF603" s="1">
        <f t="shared" si="648"/>
        <v>0</v>
      </c>
      <c r="AG603" s="1">
        <f>IF(AH603&gt;0,AH451:AH603,0)</f>
        <v>0</v>
      </c>
      <c r="AH603" s="1">
        <f t="shared" si="636"/>
        <v>0</v>
      </c>
      <c r="AJ603">
        <f t="shared" si="637"/>
        <v>0</v>
      </c>
      <c r="AK603">
        <f t="shared" si="638"/>
        <v>0</v>
      </c>
      <c r="AL603">
        <f t="shared" si="639"/>
        <v>0</v>
      </c>
      <c r="AM603">
        <f t="shared" si="640"/>
        <v>0</v>
      </c>
      <c r="AO603">
        <f t="shared" si="641"/>
        <v>0</v>
      </c>
      <c r="AP603">
        <f t="shared" si="642"/>
        <v>0</v>
      </c>
      <c r="AQ603">
        <f t="shared" si="643"/>
        <v>0</v>
      </c>
      <c r="AR603">
        <f t="shared" si="644"/>
        <v>0</v>
      </c>
    </row>
    <row r="604" spans="2:44" ht="14.1" customHeight="1" x14ac:dyDescent="0.4">
      <c r="B604" s="83" t="s">
        <v>82</v>
      </c>
      <c r="C604" s="300"/>
      <c r="D604" s="300"/>
      <c r="E604" s="248" t="s">
        <v>42</v>
      </c>
      <c r="F604" s="248"/>
      <c r="G604" s="248"/>
      <c r="H604" s="303"/>
      <c r="I604" s="250"/>
      <c r="J604" s="248"/>
      <c r="K604" s="248"/>
      <c r="L604" s="248"/>
      <c r="M604" s="280"/>
      <c r="N604" s="4" t="s">
        <v>36</v>
      </c>
      <c r="P604" s="191">
        <v>0</v>
      </c>
      <c r="Q604" s="165">
        <v>0</v>
      </c>
      <c r="R604">
        <v>0</v>
      </c>
      <c r="S604" s="6"/>
      <c r="T604" s="61"/>
      <c r="U604" s="61">
        <f t="shared" si="620"/>
        <v>0</v>
      </c>
      <c r="V604" s="7" t="str">
        <f t="shared" si="645"/>
        <v>NONE</v>
      </c>
      <c r="W604" s="56"/>
      <c r="X604" s="5"/>
      <c r="Y604" s="61">
        <f t="shared" si="622"/>
        <v>0</v>
      </c>
      <c r="Z604" s="61"/>
      <c r="AA604" s="1">
        <f t="shared" si="623"/>
        <v>0</v>
      </c>
      <c r="AB604" s="1">
        <f t="shared" si="646"/>
        <v>0</v>
      </c>
      <c r="AC604" s="1"/>
      <c r="AD604" s="65">
        <f t="shared" si="647"/>
        <v>0</v>
      </c>
      <c r="AE604" s="1"/>
      <c r="AF604" s="1">
        <f t="shared" si="648"/>
        <v>0</v>
      </c>
      <c r="AG604" s="1">
        <f>IF(AH604&gt;0,AH453:AH623,0)</f>
        <v>0</v>
      </c>
      <c r="AH604" s="1">
        <f t="shared" si="636"/>
        <v>0</v>
      </c>
      <c r="AJ604">
        <f t="shared" si="637"/>
        <v>0</v>
      </c>
      <c r="AK604">
        <f t="shared" si="638"/>
        <v>0</v>
      </c>
      <c r="AL604">
        <f t="shared" si="639"/>
        <v>0</v>
      </c>
      <c r="AM604">
        <f t="shared" si="640"/>
        <v>0</v>
      </c>
      <c r="AO604">
        <f t="shared" si="641"/>
        <v>0</v>
      </c>
      <c r="AP604">
        <f t="shared" si="642"/>
        <v>0</v>
      </c>
      <c r="AQ604">
        <f t="shared" si="643"/>
        <v>0</v>
      </c>
      <c r="AR604">
        <f t="shared" si="644"/>
        <v>0</v>
      </c>
    </row>
    <row r="605" spans="2:44" x14ac:dyDescent="0.25">
      <c r="B605" s="248"/>
      <c r="C605" s="307"/>
      <c r="D605" s="339"/>
      <c r="E605" s="287"/>
      <c r="F605" s="248"/>
      <c r="G605" s="248"/>
      <c r="H605" s="248"/>
      <c r="I605" s="250"/>
      <c r="J605" s="248"/>
      <c r="K605" s="248"/>
      <c r="L605" s="248"/>
      <c r="M605" s="280"/>
      <c r="N605" s="4" t="s">
        <v>36</v>
      </c>
      <c r="P605" s="191">
        <v>0</v>
      </c>
      <c r="Q605" s="165">
        <v>0</v>
      </c>
      <c r="R605" s="65">
        <f>P605-Q605-0.001</f>
        <v>-1E-3</v>
      </c>
      <c r="S605" s="325"/>
      <c r="T605" s="61"/>
      <c r="U605" s="61">
        <f t="shared" si="620"/>
        <v>0</v>
      </c>
      <c r="V605" s="7" t="str">
        <f t="shared" si="645"/>
        <v>NONE</v>
      </c>
      <c r="W605" s="56"/>
      <c r="X605" s="5"/>
      <c r="Y605" s="61">
        <f t="shared" si="622"/>
        <v>-1E-3</v>
      </c>
      <c r="Z605" s="61"/>
      <c r="AA605" s="1">
        <f t="shared" si="623"/>
        <v>0</v>
      </c>
      <c r="AB605" s="1">
        <f t="shared" si="646"/>
        <v>0</v>
      </c>
      <c r="AC605" s="1"/>
      <c r="AD605" s="65">
        <f t="shared" si="647"/>
        <v>0</v>
      </c>
      <c r="AE605" s="1"/>
      <c r="AF605" s="1">
        <f t="shared" si="648"/>
        <v>0</v>
      </c>
      <c r="AG605" s="1">
        <f>IF(AH605&gt;0,AH454:AH605,0)</f>
        <v>0</v>
      </c>
      <c r="AH605" s="1">
        <f t="shared" si="636"/>
        <v>0</v>
      </c>
      <c r="AJ605">
        <f t="shared" si="637"/>
        <v>0</v>
      </c>
      <c r="AK605">
        <f t="shared" si="638"/>
        <v>0</v>
      </c>
      <c r="AL605">
        <f t="shared" si="639"/>
        <v>0</v>
      </c>
      <c r="AM605">
        <f t="shared" si="640"/>
        <v>0</v>
      </c>
      <c r="AO605">
        <f t="shared" si="641"/>
        <v>0</v>
      </c>
      <c r="AP605">
        <f t="shared" si="642"/>
        <v>0</v>
      </c>
      <c r="AQ605">
        <f t="shared" si="643"/>
        <v>0</v>
      </c>
      <c r="AR605">
        <f t="shared" si="644"/>
        <v>0</v>
      </c>
    </row>
    <row r="606" spans="2:44" x14ac:dyDescent="0.25">
      <c r="B606" s="253"/>
      <c r="C606" s="248"/>
      <c r="D606" s="248"/>
      <c r="E606" s="248"/>
      <c r="F606" s="248"/>
      <c r="G606" s="248"/>
      <c r="H606" s="278"/>
      <c r="I606" s="250"/>
      <c r="J606" s="304"/>
      <c r="K606" s="248"/>
      <c r="L606" s="248"/>
      <c r="M606" s="330"/>
      <c r="N606" s="4" t="s">
        <v>36</v>
      </c>
      <c r="P606" s="191">
        <v>0</v>
      </c>
      <c r="Q606" s="165">
        <v>0</v>
      </c>
      <c r="R606">
        <v>0</v>
      </c>
      <c r="S606" s="6"/>
      <c r="T606" s="61"/>
      <c r="U606" s="61">
        <f t="shared" ref="U606:U612" si="649">IF(V606=$AE$2,47,IF(V606=$AE$1,ROUND(((P606+500)*0.039),0),IF(V606=$AE$3,0)))</f>
        <v>0</v>
      </c>
      <c r="V606" s="7" t="str">
        <f t="shared" si="645"/>
        <v>NONE</v>
      </c>
      <c r="W606" s="56"/>
      <c r="X606" s="5"/>
      <c r="Y606" s="61">
        <f t="shared" si="622"/>
        <v>0</v>
      </c>
      <c r="Z606" s="61"/>
      <c r="AA606" s="1">
        <f t="shared" si="623"/>
        <v>0</v>
      </c>
      <c r="AB606" s="1">
        <f t="shared" si="646"/>
        <v>0</v>
      </c>
      <c r="AC606" s="1"/>
      <c r="AD606" s="65">
        <f t="shared" si="647"/>
        <v>0</v>
      </c>
      <c r="AE606" s="1"/>
      <c r="AF606" s="1">
        <f t="shared" si="648"/>
        <v>0</v>
      </c>
      <c r="AG606" s="1">
        <f>IF(AH606&gt;0,AH460:AH606,0)</f>
        <v>0</v>
      </c>
      <c r="AH606" s="1">
        <f t="shared" si="636"/>
        <v>0</v>
      </c>
      <c r="AJ606">
        <f t="shared" si="637"/>
        <v>0</v>
      </c>
      <c r="AK606">
        <f t="shared" si="638"/>
        <v>0</v>
      </c>
      <c r="AL606">
        <f t="shared" si="639"/>
        <v>0</v>
      </c>
      <c r="AM606">
        <f t="shared" si="640"/>
        <v>0</v>
      </c>
      <c r="AO606">
        <f t="shared" si="641"/>
        <v>0</v>
      </c>
      <c r="AP606">
        <f t="shared" si="642"/>
        <v>0</v>
      </c>
      <c r="AQ606">
        <f t="shared" si="643"/>
        <v>0</v>
      </c>
      <c r="AR606">
        <f t="shared" si="644"/>
        <v>0</v>
      </c>
    </row>
    <row r="607" spans="2:44" x14ac:dyDescent="0.25">
      <c r="B607" s="83" t="s">
        <v>82</v>
      </c>
      <c r="C607" s="248"/>
      <c r="D607" s="249"/>
      <c r="E607" s="248" t="s">
        <v>42</v>
      </c>
      <c r="F607" s="248"/>
      <c r="G607" s="248"/>
      <c r="H607" s="253"/>
      <c r="I607" s="250"/>
      <c r="J607" s="248"/>
      <c r="K607" s="248"/>
      <c r="L607" s="248"/>
      <c r="M607" s="301"/>
      <c r="N607" s="4" t="s">
        <v>36</v>
      </c>
      <c r="P607" s="191">
        <v>0</v>
      </c>
      <c r="Q607" s="165">
        <v>0</v>
      </c>
      <c r="R607">
        <v>0</v>
      </c>
      <c r="S607" s="6"/>
      <c r="T607" s="61"/>
      <c r="U607" s="61">
        <f t="shared" si="649"/>
        <v>0</v>
      </c>
      <c r="V607" s="7" t="str">
        <f t="shared" si="645"/>
        <v>NONE</v>
      </c>
      <c r="W607" s="56"/>
      <c r="X607" s="5"/>
      <c r="Y607" s="61">
        <f t="shared" si="622"/>
        <v>0</v>
      </c>
      <c r="Z607" s="61"/>
      <c r="AA607" s="1">
        <f t="shared" si="623"/>
        <v>0</v>
      </c>
      <c r="AB607" s="1">
        <f t="shared" si="646"/>
        <v>0</v>
      </c>
      <c r="AC607" s="1"/>
      <c r="AD607" s="65">
        <f t="shared" si="647"/>
        <v>0</v>
      </c>
      <c r="AE607" s="1"/>
      <c r="AF607" s="1">
        <f t="shared" si="648"/>
        <v>0</v>
      </c>
      <c r="AG607" s="1">
        <f>IF(AH607&gt;0,AH456:AH607,0)</f>
        <v>0</v>
      </c>
      <c r="AH607" s="1">
        <f t="shared" si="636"/>
        <v>0</v>
      </c>
      <c r="AJ607">
        <f t="shared" si="637"/>
        <v>0</v>
      </c>
      <c r="AK607">
        <f t="shared" si="638"/>
        <v>0</v>
      </c>
      <c r="AL607">
        <f t="shared" si="639"/>
        <v>0</v>
      </c>
      <c r="AM607">
        <f t="shared" si="640"/>
        <v>0</v>
      </c>
      <c r="AO607">
        <f t="shared" si="641"/>
        <v>0</v>
      </c>
      <c r="AP607">
        <f t="shared" si="642"/>
        <v>0</v>
      </c>
      <c r="AQ607">
        <f t="shared" si="643"/>
        <v>0</v>
      </c>
      <c r="AR607">
        <f t="shared" si="644"/>
        <v>0</v>
      </c>
    </row>
    <row r="608" spans="2:44" x14ac:dyDescent="0.25">
      <c r="B608" s="248"/>
      <c r="C608" s="248"/>
      <c r="D608" s="248"/>
      <c r="E608" s="248"/>
      <c r="F608" s="248"/>
      <c r="G608" s="248"/>
      <c r="H608" s="248"/>
      <c r="I608" s="250"/>
      <c r="J608" s="248"/>
      <c r="K608" s="248"/>
      <c r="L608" s="248"/>
      <c r="M608" s="280"/>
      <c r="N608" s="4" t="s">
        <v>36</v>
      </c>
      <c r="P608" s="191">
        <v>0</v>
      </c>
      <c r="Q608" s="165">
        <v>0</v>
      </c>
      <c r="R608">
        <v>0</v>
      </c>
      <c r="S608" s="6"/>
      <c r="T608" s="61"/>
      <c r="U608" s="61">
        <f t="shared" si="649"/>
        <v>0</v>
      </c>
      <c r="V608" s="7" t="str">
        <f t="shared" si="645"/>
        <v>NONE</v>
      </c>
      <c r="W608" s="56"/>
      <c r="X608" s="5"/>
      <c r="Y608" s="61">
        <f t="shared" si="622"/>
        <v>0</v>
      </c>
      <c r="Z608" s="61"/>
      <c r="AA608" s="1">
        <f t="shared" si="623"/>
        <v>0</v>
      </c>
      <c r="AB608" s="1">
        <f t="shared" si="646"/>
        <v>0</v>
      </c>
      <c r="AC608" s="1"/>
      <c r="AD608" s="65">
        <f t="shared" si="647"/>
        <v>0</v>
      </c>
      <c r="AE608" s="1"/>
      <c r="AF608" s="1">
        <f t="shared" si="648"/>
        <v>0</v>
      </c>
      <c r="AG608" s="1">
        <f>IF(AH608&gt;0,AH456:AH625,0)</f>
        <v>0</v>
      </c>
      <c r="AH608" s="1">
        <f t="shared" si="636"/>
        <v>0</v>
      </c>
      <c r="AJ608">
        <f t="shared" si="637"/>
        <v>0</v>
      </c>
      <c r="AK608">
        <f t="shared" si="638"/>
        <v>0</v>
      </c>
      <c r="AL608">
        <f t="shared" si="639"/>
        <v>0</v>
      </c>
      <c r="AM608">
        <f t="shared" si="640"/>
        <v>0</v>
      </c>
      <c r="AO608">
        <f t="shared" si="641"/>
        <v>0</v>
      </c>
      <c r="AP608">
        <f t="shared" si="642"/>
        <v>0</v>
      </c>
      <c r="AQ608">
        <f t="shared" si="643"/>
        <v>0</v>
      </c>
      <c r="AR608">
        <f t="shared" si="644"/>
        <v>0</v>
      </c>
    </row>
    <row r="609" spans="2:44" x14ac:dyDescent="0.25">
      <c r="B609" s="253"/>
      <c r="C609" s="253"/>
      <c r="D609" s="253"/>
      <c r="E609" s="248"/>
      <c r="F609" s="248"/>
      <c r="G609" s="248"/>
      <c r="H609" s="252"/>
      <c r="I609" s="250"/>
      <c r="J609" s="248"/>
      <c r="K609" s="248"/>
      <c r="L609" s="248"/>
      <c r="M609" s="280"/>
      <c r="N609" s="4" t="s">
        <v>36</v>
      </c>
      <c r="P609" s="191">
        <v>0</v>
      </c>
      <c r="Q609" s="165">
        <v>0</v>
      </c>
      <c r="R609">
        <v>0</v>
      </c>
      <c r="S609" s="6"/>
      <c r="T609" s="61"/>
      <c r="U609" s="61">
        <f t="shared" si="649"/>
        <v>0</v>
      </c>
      <c r="V609" s="7" t="str">
        <f t="shared" si="645"/>
        <v>NONE</v>
      </c>
      <c r="W609" s="56"/>
      <c r="X609" s="5"/>
      <c r="Y609" s="61">
        <f t="shared" si="622"/>
        <v>0</v>
      </c>
      <c r="Z609" s="61"/>
      <c r="AA609" s="1">
        <f t="shared" si="623"/>
        <v>0</v>
      </c>
      <c r="AB609" s="1">
        <f t="shared" si="646"/>
        <v>0</v>
      </c>
      <c r="AC609" s="1"/>
      <c r="AD609" s="65">
        <f t="shared" si="647"/>
        <v>0</v>
      </c>
      <c r="AE609" s="1"/>
      <c r="AF609" s="1">
        <f t="shared" si="648"/>
        <v>0</v>
      </c>
      <c r="AG609" s="1">
        <f>IF(AH609&gt;0,AH453:AH609,0)</f>
        <v>0</v>
      </c>
      <c r="AH609" s="1">
        <f t="shared" si="636"/>
        <v>0</v>
      </c>
      <c r="AJ609">
        <f t="shared" si="637"/>
        <v>0</v>
      </c>
      <c r="AK609">
        <f t="shared" si="638"/>
        <v>0</v>
      </c>
      <c r="AL609">
        <f t="shared" si="639"/>
        <v>0</v>
      </c>
      <c r="AM609">
        <f t="shared" si="640"/>
        <v>0</v>
      </c>
      <c r="AO609">
        <f t="shared" si="641"/>
        <v>0</v>
      </c>
      <c r="AP609">
        <f t="shared" si="642"/>
        <v>0</v>
      </c>
      <c r="AQ609">
        <f t="shared" si="643"/>
        <v>0</v>
      </c>
      <c r="AR609">
        <f t="shared" si="644"/>
        <v>0</v>
      </c>
    </row>
    <row r="610" spans="2:44" x14ac:dyDescent="0.25">
      <c r="B610" s="83" t="s">
        <v>82</v>
      </c>
      <c r="C610" s="305"/>
      <c r="D610" s="306"/>
      <c r="E610" s="248" t="s">
        <v>42</v>
      </c>
      <c r="F610" s="248"/>
      <c r="G610" s="248"/>
      <c r="H610" s="250"/>
      <c r="I610" s="250"/>
      <c r="J610" s="248"/>
      <c r="K610" s="248"/>
      <c r="L610" s="248"/>
      <c r="M610" s="280"/>
      <c r="N610" s="4" t="s">
        <v>36</v>
      </c>
      <c r="P610" s="191">
        <v>0</v>
      </c>
      <c r="Q610" s="165">
        <v>0</v>
      </c>
      <c r="R610">
        <v>0</v>
      </c>
      <c r="S610" s="6"/>
      <c r="T610" s="61"/>
      <c r="U610" s="61">
        <f t="shared" si="649"/>
        <v>0</v>
      </c>
      <c r="V610" s="7" t="str">
        <f t="shared" si="645"/>
        <v>NONE</v>
      </c>
      <c r="W610" s="56"/>
      <c r="X610" s="87"/>
      <c r="Y610" s="61">
        <f t="shared" si="622"/>
        <v>0</v>
      </c>
      <c r="Z610" s="61"/>
      <c r="AA610" s="1">
        <f t="shared" si="623"/>
        <v>0</v>
      </c>
      <c r="AB610" s="1">
        <f t="shared" si="646"/>
        <v>0</v>
      </c>
      <c r="AC610" s="1"/>
      <c r="AD610" s="65">
        <f t="shared" si="647"/>
        <v>0</v>
      </c>
      <c r="AE610" s="1"/>
      <c r="AF610" s="1">
        <f t="shared" si="648"/>
        <v>0</v>
      </c>
      <c r="AG610" s="1">
        <f>IF(AH610&gt;0,AH453:AH621,0)</f>
        <v>0</v>
      </c>
      <c r="AH610" s="1">
        <f t="shared" si="636"/>
        <v>0</v>
      </c>
      <c r="AJ610">
        <f t="shared" si="637"/>
        <v>0</v>
      </c>
      <c r="AK610">
        <f t="shared" si="638"/>
        <v>0</v>
      </c>
      <c r="AL610">
        <f t="shared" si="639"/>
        <v>0</v>
      </c>
      <c r="AM610">
        <f t="shared" si="640"/>
        <v>0</v>
      </c>
      <c r="AO610">
        <f t="shared" si="641"/>
        <v>0</v>
      </c>
      <c r="AP610">
        <f t="shared" si="642"/>
        <v>0</v>
      </c>
      <c r="AQ610">
        <f t="shared" si="643"/>
        <v>0</v>
      </c>
      <c r="AR610">
        <f t="shared" si="644"/>
        <v>0</v>
      </c>
    </row>
    <row r="611" spans="2:44" x14ac:dyDescent="0.25">
      <c r="B611" s="248"/>
      <c r="C611" s="253"/>
      <c r="D611" s="253"/>
      <c r="E611" s="248"/>
      <c r="F611" s="248"/>
      <c r="G611" s="248"/>
      <c r="H611" s="248"/>
      <c r="I611" s="250"/>
      <c r="J611" s="248"/>
      <c r="K611" s="248"/>
      <c r="L611" s="248"/>
      <c r="M611" s="280"/>
      <c r="N611" s="4" t="s">
        <v>36</v>
      </c>
      <c r="P611" s="191">
        <v>0</v>
      </c>
      <c r="Q611" s="165">
        <v>0</v>
      </c>
      <c r="R611">
        <v>0</v>
      </c>
      <c r="S611" s="6"/>
      <c r="T611" s="61"/>
      <c r="U611" s="61">
        <f t="shared" si="649"/>
        <v>0</v>
      </c>
      <c r="V611" s="7" t="str">
        <f t="shared" si="645"/>
        <v>NONE</v>
      </c>
      <c r="W611" s="56"/>
      <c r="X611" s="5"/>
      <c r="Y611" s="61">
        <f t="shared" si="622"/>
        <v>0</v>
      </c>
      <c r="Z611" s="61"/>
      <c r="AA611" s="1">
        <f t="shared" si="623"/>
        <v>0</v>
      </c>
      <c r="AB611" s="1">
        <f t="shared" si="646"/>
        <v>0</v>
      </c>
      <c r="AC611" s="1"/>
      <c r="AD611" s="65">
        <f t="shared" si="647"/>
        <v>0</v>
      </c>
      <c r="AE611" s="1"/>
      <c r="AF611" s="1">
        <f t="shared" si="648"/>
        <v>0</v>
      </c>
      <c r="AG611" s="1">
        <f>IF(AH611&gt;0,AH456:AH611,0)</f>
        <v>0</v>
      </c>
      <c r="AH611" s="1">
        <f t="shared" si="636"/>
        <v>0</v>
      </c>
      <c r="AJ611">
        <f t="shared" si="637"/>
        <v>0</v>
      </c>
      <c r="AK611">
        <f t="shared" si="638"/>
        <v>0</v>
      </c>
      <c r="AL611">
        <f t="shared" si="639"/>
        <v>0</v>
      </c>
      <c r="AM611">
        <f t="shared" si="640"/>
        <v>0</v>
      </c>
      <c r="AO611">
        <f t="shared" si="641"/>
        <v>0</v>
      </c>
      <c r="AP611">
        <f t="shared" si="642"/>
        <v>0</v>
      </c>
      <c r="AQ611">
        <f t="shared" si="643"/>
        <v>0</v>
      </c>
      <c r="AR611">
        <f t="shared" si="644"/>
        <v>0</v>
      </c>
    </row>
    <row r="612" spans="2:44" x14ac:dyDescent="0.25">
      <c r="B612" s="83" t="s">
        <v>82</v>
      </c>
      <c r="C612" s="307"/>
      <c r="D612" s="307"/>
      <c r="E612" s="248" t="s">
        <v>42</v>
      </c>
      <c r="F612" s="248"/>
      <c r="G612" s="248"/>
      <c r="H612" s="248"/>
      <c r="I612" s="250"/>
      <c r="J612" s="248"/>
      <c r="K612" s="248"/>
      <c r="L612" s="248"/>
      <c r="M612" s="278"/>
      <c r="N612" s="4" t="s">
        <v>36</v>
      </c>
      <c r="P612" s="191">
        <v>0</v>
      </c>
      <c r="Q612" s="165">
        <v>0</v>
      </c>
      <c r="R612">
        <v>0</v>
      </c>
      <c r="S612" s="6"/>
      <c r="T612" s="61"/>
      <c r="U612" s="61">
        <f t="shared" si="649"/>
        <v>0</v>
      </c>
      <c r="V612" s="7" t="str">
        <f t="shared" si="645"/>
        <v>NONE</v>
      </c>
      <c r="W612" s="56"/>
      <c r="X612" s="5"/>
      <c r="Y612" s="61">
        <f t="shared" si="622"/>
        <v>0</v>
      </c>
      <c r="Z612" s="61"/>
      <c r="AA612" s="1">
        <f t="shared" si="623"/>
        <v>0</v>
      </c>
      <c r="AB612" s="1">
        <f t="shared" si="646"/>
        <v>0</v>
      </c>
      <c r="AC612" s="1"/>
      <c r="AD612" s="65">
        <f t="shared" si="647"/>
        <v>0</v>
      </c>
      <c r="AE612" s="1"/>
      <c r="AF612" s="1">
        <f t="shared" si="648"/>
        <v>0</v>
      </c>
      <c r="AG612" s="1">
        <f>IF(AH612&gt;0,AH458:AH612,0)</f>
        <v>0</v>
      </c>
      <c r="AH612" s="1">
        <f t="shared" si="636"/>
        <v>0</v>
      </c>
      <c r="AJ612">
        <f t="shared" si="637"/>
        <v>0</v>
      </c>
      <c r="AK612">
        <f t="shared" si="638"/>
        <v>0</v>
      </c>
      <c r="AL612">
        <f t="shared" si="639"/>
        <v>0</v>
      </c>
      <c r="AM612">
        <f t="shared" si="640"/>
        <v>0</v>
      </c>
      <c r="AO612">
        <f t="shared" si="641"/>
        <v>0</v>
      </c>
      <c r="AP612">
        <f t="shared" si="642"/>
        <v>0</v>
      </c>
      <c r="AQ612">
        <f t="shared" si="643"/>
        <v>0</v>
      </c>
      <c r="AR612">
        <f t="shared" si="644"/>
        <v>0</v>
      </c>
    </row>
    <row r="613" spans="2:44" x14ac:dyDescent="0.25">
      <c r="B613" s="253"/>
      <c r="C613" s="253"/>
      <c r="D613" s="253"/>
      <c r="E613" s="248"/>
      <c r="F613" s="248"/>
      <c r="G613" s="248"/>
      <c r="H613" s="248"/>
      <c r="I613" s="250"/>
      <c r="J613" s="248"/>
      <c r="K613" s="248"/>
      <c r="L613" s="248"/>
      <c r="M613" s="280"/>
      <c r="N613" s="4" t="s">
        <v>36</v>
      </c>
      <c r="P613" s="191">
        <v>0</v>
      </c>
      <c r="Q613" s="165">
        <v>0</v>
      </c>
      <c r="R613">
        <v>0</v>
      </c>
      <c r="S613" s="6"/>
      <c r="T613" s="61"/>
      <c r="U613" s="61">
        <f t="shared" ref="U613:U632" si="650">IF(V613=$AE$2,47,IF(V613=$AE$1,ROUND(((P613+500)*0.039),0),IF(V613=$AE$3,0)))</f>
        <v>0</v>
      </c>
      <c r="V613" s="7" t="str">
        <f t="shared" ref="V613:V632" si="651">IF(W613=1,$AE$2,IF(W613=2,$AE$1,IF(AND(W613&lt;&gt;1,W613&lt;&gt;20)=TRUE,$AE$3)))</f>
        <v>NONE</v>
      </c>
      <c r="W613" s="56"/>
      <c r="X613" s="5"/>
      <c r="Y613" s="61">
        <f t="shared" si="622"/>
        <v>0</v>
      </c>
      <c r="Z613" s="61"/>
      <c r="AA613" s="1">
        <f t="shared" si="623"/>
        <v>0</v>
      </c>
      <c r="AB613" s="1">
        <f t="shared" ref="AB613:AB632" si="652">IF(I613&gt;0,130,0)</f>
        <v>0</v>
      </c>
      <c r="AC613" s="1"/>
      <c r="AD613" s="65">
        <f t="shared" ref="AD613:AD632" si="653">(P613+U613)-AB613</f>
        <v>0</v>
      </c>
      <c r="AE613" s="1"/>
      <c r="AF613" s="1">
        <f t="shared" ref="AF613:AF632" si="654">IF(I613&gt;0,30*G613,0)</f>
        <v>0</v>
      </c>
      <c r="AG613" s="1">
        <f>IF(AH613&gt;0,AH458:AH613,0)</f>
        <v>0</v>
      </c>
      <c r="AH613" s="1">
        <f t="shared" ref="AH613:AH632" si="655">AD613-AF613</f>
        <v>0</v>
      </c>
      <c r="AJ613">
        <f t="shared" ref="AJ613:AJ632" si="656">IF(T613=1,P613-U613,0)</f>
        <v>0</v>
      </c>
      <c r="AK613">
        <f t="shared" ref="AK613:AK632" si="657">IF(T613=2,P613-U613,0)</f>
        <v>0</v>
      </c>
      <c r="AL613">
        <f t="shared" ref="AL613:AL632" si="658">IF(T613=3,P613-U613,0)</f>
        <v>0</v>
      </c>
      <c r="AM613">
        <f t="shared" ref="AM613:AM632" si="659">IF(T613=4,P613-U613,0)</f>
        <v>0</v>
      </c>
      <c r="AO613">
        <f t="shared" ref="AO613:AO632" si="660">IF(T613=1,P613-U613,0)</f>
        <v>0</v>
      </c>
      <c r="AP613">
        <f t="shared" ref="AP613:AP632" si="661">IF(T613=2,P613-U613,0)</f>
        <v>0</v>
      </c>
      <c r="AQ613">
        <f t="shared" ref="AQ613:AQ632" si="662">IF(T613=3,P613-U613,0)</f>
        <v>0</v>
      </c>
      <c r="AR613">
        <f t="shared" ref="AR613:AR632" si="663">IF(T613=4,P613-U613,0)</f>
        <v>0</v>
      </c>
    </row>
    <row r="614" spans="2:44" x14ac:dyDescent="0.25">
      <c r="B614" s="83" t="s">
        <v>82</v>
      </c>
      <c r="C614" s="253"/>
      <c r="D614" s="253"/>
      <c r="E614" s="248" t="s">
        <v>42</v>
      </c>
      <c r="F614" s="248"/>
      <c r="G614" s="248"/>
      <c r="H614" s="250"/>
      <c r="I614" s="250"/>
      <c r="J614" s="248"/>
      <c r="K614" s="248"/>
      <c r="L614" s="248"/>
      <c r="M614" s="278"/>
      <c r="N614" s="4" t="s">
        <v>36</v>
      </c>
      <c r="P614" s="191">
        <v>0</v>
      </c>
      <c r="Q614" s="165">
        <v>0</v>
      </c>
      <c r="R614">
        <v>0</v>
      </c>
      <c r="S614" s="6"/>
      <c r="T614" s="61"/>
      <c r="U614" s="61">
        <f t="shared" si="650"/>
        <v>0</v>
      </c>
      <c r="V614" s="7" t="str">
        <f t="shared" si="651"/>
        <v>NONE</v>
      </c>
      <c r="W614" s="56"/>
      <c r="X614" s="5"/>
      <c r="Y614" s="61">
        <f t="shared" si="622"/>
        <v>0</v>
      </c>
      <c r="Z614" s="61"/>
      <c r="AA614" s="1">
        <f t="shared" si="623"/>
        <v>0</v>
      </c>
      <c r="AB614" s="1">
        <f t="shared" si="652"/>
        <v>0</v>
      </c>
      <c r="AC614" s="1"/>
      <c r="AD614" s="65">
        <f t="shared" si="653"/>
        <v>0</v>
      </c>
      <c r="AE614" s="1"/>
      <c r="AF614" s="1">
        <f t="shared" si="654"/>
        <v>0</v>
      </c>
      <c r="AG614" s="1">
        <f>IF(AH614&gt;0,AH460:AH614,0)</f>
        <v>0</v>
      </c>
      <c r="AH614" s="1">
        <f t="shared" si="655"/>
        <v>0</v>
      </c>
      <c r="AJ614">
        <f t="shared" si="656"/>
        <v>0</v>
      </c>
      <c r="AK614">
        <f t="shared" si="657"/>
        <v>0</v>
      </c>
      <c r="AL614">
        <f t="shared" si="658"/>
        <v>0</v>
      </c>
      <c r="AM614">
        <f t="shared" si="659"/>
        <v>0</v>
      </c>
      <c r="AO614">
        <f t="shared" si="660"/>
        <v>0</v>
      </c>
      <c r="AP614">
        <f t="shared" si="661"/>
        <v>0</v>
      </c>
      <c r="AQ614">
        <f t="shared" si="662"/>
        <v>0</v>
      </c>
      <c r="AR614">
        <f t="shared" si="663"/>
        <v>0</v>
      </c>
    </row>
    <row r="615" spans="2:44" ht="15.75" customHeight="1" x14ac:dyDescent="0.25">
      <c r="B615" s="8"/>
      <c r="C615" s="8"/>
      <c r="D615" s="8"/>
      <c r="F615">
        <f>IF(E615=$B$12,I615,0)</f>
        <v>0</v>
      </c>
      <c r="G615">
        <f>IF(F615&gt;0,0,1)</f>
        <v>1</v>
      </c>
      <c r="I615" s="121"/>
      <c r="N615" s="4" t="s">
        <v>36</v>
      </c>
      <c r="P615" s="191">
        <v>0</v>
      </c>
      <c r="Q615" s="165">
        <v>0</v>
      </c>
      <c r="R615">
        <v>0</v>
      </c>
      <c r="S615" s="6"/>
      <c r="T615" s="61"/>
      <c r="U615" s="61">
        <f t="shared" si="650"/>
        <v>0</v>
      </c>
      <c r="V615" s="7" t="str">
        <f t="shared" si="651"/>
        <v>NONE</v>
      </c>
      <c r="W615" s="56"/>
      <c r="X615" s="5"/>
      <c r="Y615" s="61">
        <f t="shared" si="622"/>
        <v>0</v>
      </c>
      <c r="Z615" s="61"/>
      <c r="AA615" s="1">
        <f t="shared" si="623"/>
        <v>0</v>
      </c>
      <c r="AB615" s="1">
        <f t="shared" si="652"/>
        <v>0</v>
      </c>
      <c r="AC615" s="1"/>
      <c r="AD615" s="65">
        <f t="shared" si="653"/>
        <v>0</v>
      </c>
      <c r="AE615" s="1"/>
      <c r="AF615" s="1">
        <f t="shared" si="654"/>
        <v>0</v>
      </c>
      <c r="AG615" s="1">
        <f>IF(AH615&gt;0,AH456:AH615,0)</f>
        <v>0</v>
      </c>
      <c r="AH615" s="1">
        <f t="shared" si="655"/>
        <v>0</v>
      </c>
      <c r="AJ615">
        <f t="shared" si="656"/>
        <v>0</v>
      </c>
      <c r="AK615">
        <f t="shared" si="657"/>
        <v>0</v>
      </c>
      <c r="AL615">
        <f t="shared" si="658"/>
        <v>0</v>
      </c>
      <c r="AM615">
        <f t="shared" si="659"/>
        <v>0</v>
      </c>
      <c r="AO615">
        <f t="shared" si="660"/>
        <v>0</v>
      </c>
      <c r="AP615">
        <f t="shared" si="661"/>
        <v>0</v>
      </c>
      <c r="AQ615">
        <f t="shared" si="662"/>
        <v>0</v>
      </c>
      <c r="AR615">
        <f t="shared" si="663"/>
        <v>0</v>
      </c>
    </row>
    <row r="616" spans="2:44" x14ac:dyDescent="0.25">
      <c r="B616" s="83" t="s">
        <v>82</v>
      </c>
      <c r="E616" t="s">
        <v>42</v>
      </c>
      <c r="F616">
        <f>IF(E616=$B$12,I616,0)</f>
        <v>0</v>
      </c>
      <c r="G616">
        <f>IF(F616&gt;0,0,1)</f>
        <v>1</v>
      </c>
      <c r="I616" s="121"/>
      <c r="N616" s="4" t="s">
        <v>36</v>
      </c>
      <c r="P616" s="191">
        <v>0</v>
      </c>
      <c r="Q616" s="165">
        <v>0</v>
      </c>
      <c r="R616">
        <v>0</v>
      </c>
      <c r="S616" s="6"/>
      <c r="T616" s="61"/>
      <c r="U616" s="61">
        <f t="shared" si="650"/>
        <v>0</v>
      </c>
      <c r="V616" s="7" t="str">
        <f t="shared" si="651"/>
        <v>NONE</v>
      </c>
      <c r="W616" s="56"/>
      <c r="X616" s="5"/>
      <c r="Y616" s="61">
        <f t="shared" si="622"/>
        <v>0</v>
      </c>
      <c r="Z616" s="61"/>
      <c r="AA616" s="1">
        <f t="shared" si="623"/>
        <v>0</v>
      </c>
      <c r="AB616" s="1">
        <f t="shared" si="652"/>
        <v>0</v>
      </c>
      <c r="AC616" s="1"/>
      <c r="AD616" s="65">
        <f t="shared" si="653"/>
        <v>0</v>
      </c>
      <c r="AE616" s="1"/>
      <c r="AF616" s="1">
        <f t="shared" si="654"/>
        <v>0</v>
      </c>
      <c r="AG616" s="1">
        <f>IF(AH616&gt;0,AH458:AH616,0)</f>
        <v>0</v>
      </c>
      <c r="AH616" s="1">
        <f t="shared" si="655"/>
        <v>0</v>
      </c>
      <c r="AJ616">
        <f t="shared" si="656"/>
        <v>0</v>
      </c>
      <c r="AK616">
        <f t="shared" si="657"/>
        <v>0</v>
      </c>
      <c r="AL616">
        <f t="shared" si="658"/>
        <v>0</v>
      </c>
      <c r="AM616">
        <f t="shared" si="659"/>
        <v>0</v>
      </c>
      <c r="AO616">
        <f t="shared" si="660"/>
        <v>0</v>
      </c>
      <c r="AP616">
        <f t="shared" si="661"/>
        <v>0</v>
      </c>
      <c r="AQ616">
        <f t="shared" si="662"/>
        <v>0</v>
      </c>
      <c r="AR616">
        <f t="shared" si="663"/>
        <v>0</v>
      </c>
    </row>
    <row r="617" spans="2:44" x14ac:dyDescent="0.25">
      <c r="B617" s="248"/>
      <c r="C617" s="248"/>
      <c r="D617" s="248"/>
      <c r="E617" s="248"/>
      <c r="F617" s="248"/>
      <c r="G617" s="248"/>
      <c r="H617" s="250"/>
      <c r="I617" s="250"/>
      <c r="J617" s="248"/>
      <c r="K617" s="248"/>
      <c r="L617" s="248"/>
      <c r="M617" s="280"/>
      <c r="N617" s="4" t="s">
        <v>36</v>
      </c>
      <c r="P617" s="191">
        <v>0</v>
      </c>
      <c r="Q617" s="165">
        <v>0</v>
      </c>
      <c r="R617">
        <v>0</v>
      </c>
      <c r="S617" s="145"/>
      <c r="T617" s="61"/>
      <c r="U617" s="61">
        <f t="shared" si="650"/>
        <v>0</v>
      </c>
      <c r="V617" s="7" t="str">
        <f t="shared" si="651"/>
        <v>NONE</v>
      </c>
      <c r="W617" s="56"/>
      <c r="X617" s="87"/>
      <c r="Y617" s="61">
        <f t="shared" si="622"/>
        <v>0</v>
      </c>
      <c r="Z617" s="61"/>
      <c r="AA617" s="1">
        <f t="shared" si="623"/>
        <v>0</v>
      </c>
      <c r="AB617" s="1">
        <f t="shared" si="652"/>
        <v>0</v>
      </c>
      <c r="AC617" s="1"/>
      <c r="AD617" s="65">
        <f t="shared" si="653"/>
        <v>0</v>
      </c>
      <c r="AE617" s="1"/>
      <c r="AF617" s="1">
        <f t="shared" si="654"/>
        <v>0</v>
      </c>
      <c r="AG617" s="1">
        <f>IF(AH617&gt;0,AH458:AH626,0)</f>
        <v>0</v>
      </c>
      <c r="AH617" s="1">
        <f t="shared" si="655"/>
        <v>0</v>
      </c>
      <c r="AJ617">
        <f t="shared" si="656"/>
        <v>0</v>
      </c>
      <c r="AK617">
        <f t="shared" si="657"/>
        <v>0</v>
      </c>
      <c r="AL617">
        <f t="shared" si="658"/>
        <v>0</v>
      </c>
      <c r="AM617">
        <f t="shared" si="659"/>
        <v>0</v>
      </c>
      <c r="AO617">
        <f t="shared" si="660"/>
        <v>0</v>
      </c>
      <c r="AP617">
        <f t="shared" si="661"/>
        <v>0</v>
      </c>
      <c r="AQ617">
        <f t="shared" si="662"/>
        <v>0</v>
      </c>
      <c r="AR617">
        <f t="shared" si="663"/>
        <v>0</v>
      </c>
    </row>
    <row r="618" spans="2:44" ht="13.15" customHeight="1" x14ac:dyDescent="0.25">
      <c r="B618" s="83" t="s">
        <v>82</v>
      </c>
      <c r="C618" s="253"/>
      <c r="D618" s="253"/>
      <c r="E618" s="248" t="s">
        <v>42</v>
      </c>
      <c r="F618" s="248"/>
      <c r="G618" s="248"/>
      <c r="H618" s="250"/>
      <c r="I618" s="250"/>
      <c r="J618" s="248"/>
      <c r="K618" s="248"/>
      <c r="L618" s="248"/>
      <c r="M618" s="280"/>
      <c r="N618" s="4" t="s">
        <v>36</v>
      </c>
      <c r="P618" s="191">
        <v>0</v>
      </c>
      <c r="Q618" s="165">
        <v>0</v>
      </c>
      <c r="R618">
        <v>0</v>
      </c>
      <c r="S618" s="6"/>
      <c r="T618" s="61"/>
      <c r="U618" s="61">
        <f t="shared" si="650"/>
        <v>0</v>
      </c>
      <c r="V618" s="7" t="str">
        <f t="shared" si="651"/>
        <v>NONE</v>
      </c>
      <c r="W618" s="56"/>
      <c r="X618" s="5"/>
      <c r="Y618" s="61">
        <f t="shared" si="622"/>
        <v>0</v>
      </c>
      <c r="Z618" s="61"/>
      <c r="AA618" s="1">
        <f t="shared" si="623"/>
        <v>0</v>
      </c>
      <c r="AB618" s="1">
        <f t="shared" si="652"/>
        <v>0</v>
      </c>
      <c r="AC618" s="1"/>
      <c r="AD618" s="65">
        <f t="shared" si="653"/>
        <v>0</v>
      </c>
      <c r="AE618" s="1"/>
      <c r="AF618" s="1">
        <f t="shared" si="654"/>
        <v>0</v>
      </c>
      <c r="AG618" s="1">
        <f>IF(AH618&gt;0,AH461:AH618,0)</f>
        <v>0</v>
      </c>
      <c r="AH618" s="1">
        <f t="shared" si="655"/>
        <v>0</v>
      </c>
      <c r="AJ618">
        <f t="shared" si="656"/>
        <v>0</v>
      </c>
      <c r="AK618">
        <f t="shared" si="657"/>
        <v>0</v>
      </c>
      <c r="AL618">
        <f t="shared" si="658"/>
        <v>0</v>
      </c>
      <c r="AM618">
        <f t="shared" si="659"/>
        <v>0</v>
      </c>
      <c r="AO618">
        <f t="shared" si="660"/>
        <v>0</v>
      </c>
      <c r="AP618">
        <f t="shared" si="661"/>
        <v>0</v>
      </c>
      <c r="AQ618">
        <f t="shared" si="662"/>
        <v>0</v>
      </c>
      <c r="AR618">
        <f t="shared" si="663"/>
        <v>0</v>
      </c>
    </row>
    <row r="619" spans="2:44" x14ac:dyDescent="0.25">
      <c r="B619" s="253"/>
      <c r="C619" s="248"/>
      <c r="D619" s="248"/>
      <c r="E619" s="248"/>
      <c r="F619" s="248"/>
      <c r="G619" s="248"/>
      <c r="H619" s="248"/>
      <c r="I619" s="250"/>
      <c r="J619" s="248"/>
      <c r="K619" s="248"/>
      <c r="L619" s="248"/>
      <c r="M619" s="308"/>
      <c r="N619" s="4" t="s">
        <v>36</v>
      </c>
      <c r="P619" s="191">
        <v>0</v>
      </c>
      <c r="Q619" s="165">
        <v>0</v>
      </c>
      <c r="R619">
        <v>0</v>
      </c>
      <c r="S619" s="6"/>
      <c r="T619" s="61"/>
      <c r="U619" s="61">
        <f t="shared" si="650"/>
        <v>0</v>
      </c>
      <c r="V619" s="7" t="str">
        <f t="shared" si="651"/>
        <v>NONE</v>
      </c>
      <c r="W619" s="56"/>
      <c r="X619" s="5"/>
      <c r="Y619" s="61">
        <f t="shared" si="622"/>
        <v>0</v>
      </c>
      <c r="Z619" s="61"/>
      <c r="AA619" s="1">
        <f t="shared" si="623"/>
        <v>0</v>
      </c>
      <c r="AB619" s="1">
        <f t="shared" si="652"/>
        <v>0</v>
      </c>
      <c r="AC619" s="1"/>
      <c r="AD619" s="65">
        <f t="shared" si="653"/>
        <v>0</v>
      </c>
      <c r="AE619" s="1"/>
      <c r="AF619" s="1">
        <f t="shared" si="654"/>
        <v>0</v>
      </c>
      <c r="AG619" s="1">
        <f>IF(AH619&gt;0,AH461:AH619,0)</f>
        <v>0</v>
      </c>
      <c r="AH619" s="1">
        <f t="shared" si="655"/>
        <v>0</v>
      </c>
      <c r="AJ619">
        <f t="shared" si="656"/>
        <v>0</v>
      </c>
      <c r="AK619">
        <f t="shared" si="657"/>
        <v>0</v>
      </c>
      <c r="AL619">
        <f t="shared" si="658"/>
        <v>0</v>
      </c>
      <c r="AM619">
        <f t="shared" si="659"/>
        <v>0</v>
      </c>
      <c r="AO619">
        <f t="shared" si="660"/>
        <v>0</v>
      </c>
      <c r="AP619">
        <f t="shared" si="661"/>
        <v>0</v>
      </c>
      <c r="AQ619">
        <f t="shared" si="662"/>
        <v>0</v>
      </c>
      <c r="AR619">
        <f t="shared" si="663"/>
        <v>0</v>
      </c>
    </row>
    <row r="620" spans="2:44" x14ac:dyDescent="0.25">
      <c r="B620" s="83" t="s">
        <v>82</v>
      </c>
      <c r="C620" s="253"/>
      <c r="D620" s="253"/>
      <c r="E620" s="248" t="s">
        <v>42</v>
      </c>
      <c r="F620" s="248"/>
      <c r="G620" s="248"/>
      <c r="H620" s="248"/>
      <c r="I620" s="250"/>
      <c r="J620" s="248"/>
      <c r="K620" s="248"/>
      <c r="L620" s="248"/>
      <c r="M620" s="280"/>
      <c r="N620" s="4" t="s">
        <v>36</v>
      </c>
      <c r="P620" s="191">
        <v>0</v>
      </c>
      <c r="Q620" s="165">
        <v>0</v>
      </c>
      <c r="R620">
        <v>0</v>
      </c>
      <c r="S620" s="6"/>
      <c r="T620" s="61"/>
      <c r="U620" s="61">
        <f t="shared" si="650"/>
        <v>0</v>
      </c>
      <c r="V620" s="7" t="str">
        <f t="shared" si="651"/>
        <v>NONE</v>
      </c>
      <c r="W620" s="56"/>
      <c r="X620" s="5"/>
      <c r="Y620" s="61">
        <f t="shared" si="622"/>
        <v>0</v>
      </c>
      <c r="Z620" s="61"/>
      <c r="AA620" s="1">
        <f t="shared" si="623"/>
        <v>0</v>
      </c>
      <c r="AB620" s="1">
        <f t="shared" si="652"/>
        <v>0</v>
      </c>
      <c r="AC620" s="1"/>
      <c r="AD620" s="65">
        <f t="shared" si="653"/>
        <v>0</v>
      </c>
      <c r="AE620" s="1"/>
      <c r="AF620" s="1">
        <f t="shared" si="654"/>
        <v>0</v>
      </c>
      <c r="AG620" s="1">
        <f>IF(AH620&gt;0,AH462:AH620,0)</f>
        <v>0</v>
      </c>
      <c r="AH620" s="1">
        <f t="shared" si="655"/>
        <v>0</v>
      </c>
      <c r="AJ620">
        <f t="shared" si="656"/>
        <v>0</v>
      </c>
      <c r="AK620">
        <f t="shared" si="657"/>
        <v>0</v>
      </c>
      <c r="AL620">
        <f t="shared" si="658"/>
        <v>0</v>
      </c>
      <c r="AM620">
        <f t="shared" si="659"/>
        <v>0</v>
      </c>
      <c r="AO620">
        <f t="shared" si="660"/>
        <v>0</v>
      </c>
      <c r="AP620">
        <f t="shared" si="661"/>
        <v>0</v>
      </c>
      <c r="AQ620">
        <f t="shared" si="662"/>
        <v>0</v>
      </c>
      <c r="AR620">
        <f t="shared" si="663"/>
        <v>0</v>
      </c>
    </row>
    <row r="621" spans="2:44" x14ac:dyDescent="0.25">
      <c r="B621" s="253"/>
      <c r="C621" s="248"/>
      <c r="D621" s="248"/>
      <c r="E621" s="248"/>
      <c r="F621" s="248"/>
      <c r="G621" s="248"/>
      <c r="H621" s="248"/>
      <c r="I621" s="250"/>
      <c r="J621" s="248"/>
      <c r="K621" s="248"/>
      <c r="L621" s="248"/>
      <c r="M621" s="280"/>
      <c r="N621" s="4" t="s">
        <v>36</v>
      </c>
      <c r="P621" s="191">
        <v>0</v>
      </c>
      <c r="Q621" s="165">
        <v>0</v>
      </c>
      <c r="R621">
        <v>0</v>
      </c>
      <c r="S621" s="6"/>
      <c r="T621" s="61"/>
      <c r="U621" s="61">
        <f t="shared" si="650"/>
        <v>0</v>
      </c>
      <c r="V621" s="7" t="str">
        <f t="shared" si="651"/>
        <v>NONE</v>
      </c>
      <c r="W621" s="56"/>
      <c r="X621" s="5"/>
      <c r="Y621" s="61">
        <f t="shared" si="622"/>
        <v>0</v>
      </c>
      <c r="Z621" s="61"/>
      <c r="AA621" s="1">
        <f t="shared" si="623"/>
        <v>0</v>
      </c>
      <c r="AB621" s="1">
        <f t="shared" si="652"/>
        <v>0</v>
      </c>
      <c r="AC621" s="1"/>
      <c r="AD621" s="65">
        <f t="shared" si="653"/>
        <v>0</v>
      </c>
      <c r="AE621" s="1"/>
      <c r="AF621" s="1">
        <f t="shared" si="654"/>
        <v>0</v>
      </c>
      <c r="AG621" s="1">
        <f>IF(AH621&gt;0,AH461:AH626,0)</f>
        <v>0</v>
      </c>
      <c r="AH621" s="1">
        <f t="shared" si="655"/>
        <v>0</v>
      </c>
      <c r="AJ621">
        <f t="shared" si="656"/>
        <v>0</v>
      </c>
      <c r="AK621">
        <f t="shared" si="657"/>
        <v>0</v>
      </c>
      <c r="AL621">
        <f t="shared" si="658"/>
        <v>0</v>
      </c>
      <c r="AM621">
        <f t="shared" si="659"/>
        <v>0</v>
      </c>
      <c r="AO621">
        <f t="shared" si="660"/>
        <v>0</v>
      </c>
      <c r="AP621">
        <f t="shared" si="661"/>
        <v>0</v>
      </c>
      <c r="AQ621">
        <f t="shared" si="662"/>
        <v>0</v>
      </c>
      <c r="AR621">
        <f t="shared" si="663"/>
        <v>0</v>
      </c>
    </row>
    <row r="622" spans="2:44" x14ac:dyDescent="0.25">
      <c r="B622" s="253"/>
      <c r="C622" s="253"/>
      <c r="D622" s="253"/>
      <c r="E622" s="248"/>
      <c r="F622" s="248"/>
      <c r="G622" s="248"/>
      <c r="H622" s="250"/>
      <c r="I622" s="250"/>
      <c r="J622" s="248"/>
      <c r="K622" s="248"/>
      <c r="L622" s="248"/>
      <c r="M622" s="280"/>
      <c r="N622" s="4" t="s">
        <v>36</v>
      </c>
      <c r="P622" s="191">
        <v>0</v>
      </c>
      <c r="Q622" s="165">
        <v>0</v>
      </c>
      <c r="R622">
        <v>0</v>
      </c>
      <c r="S622" s="6"/>
      <c r="T622" s="61"/>
      <c r="U622" s="61">
        <f t="shared" si="650"/>
        <v>0</v>
      </c>
      <c r="V622" s="7" t="str">
        <f t="shared" si="651"/>
        <v>NONE</v>
      </c>
      <c r="W622" s="56"/>
      <c r="X622" s="5"/>
      <c r="Y622" s="61">
        <f t="shared" si="622"/>
        <v>0</v>
      </c>
      <c r="Z622" s="61"/>
      <c r="AA622" s="1">
        <f t="shared" si="623"/>
        <v>0</v>
      </c>
      <c r="AB622" s="1">
        <f t="shared" si="652"/>
        <v>0</v>
      </c>
      <c r="AC622" s="1"/>
      <c r="AD622" s="65">
        <f t="shared" si="653"/>
        <v>0</v>
      </c>
      <c r="AE622" s="1"/>
      <c r="AF622" s="1">
        <f t="shared" si="654"/>
        <v>0</v>
      </c>
      <c r="AG622" s="1">
        <f>IF(AH622&gt;0,AH463:AH622,0)</f>
        <v>0</v>
      </c>
      <c r="AH622" s="1">
        <f t="shared" si="655"/>
        <v>0</v>
      </c>
      <c r="AJ622">
        <f t="shared" si="656"/>
        <v>0</v>
      </c>
      <c r="AK622">
        <f t="shared" si="657"/>
        <v>0</v>
      </c>
      <c r="AL622">
        <f t="shared" si="658"/>
        <v>0</v>
      </c>
      <c r="AM622">
        <f t="shared" si="659"/>
        <v>0</v>
      </c>
      <c r="AO622">
        <f t="shared" si="660"/>
        <v>0</v>
      </c>
      <c r="AP622">
        <f t="shared" si="661"/>
        <v>0</v>
      </c>
      <c r="AQ622">
        <f t="shared" si="662"/>
        <v>0</v>
      </c>
      <c r="AR622">
        <f t="shared" si="663"/>
        <v>0</v>
      </c>
    </row>
    <row r="623" spans="2:44" x14ac:dyDescent="0.25">
      <c r="B623" s="248"/>
      <c r="C623" s="248"/>
      <c r="D623" s="248"/>
      <c r="E623" s="248"/>
      <c r="F623" s="248"/>
      <c r="G623" s="248"/>
      <c r="H623" s="250"/>
      <c r="I623" s="250"/>
      <c r="J623" s="248"/>
      <c r="K623" s="248"/>
      <c r="L623" s="248"/>
      <c r="M623" s="280"/>
      <c r="N623" s="4" t="s">
        <v>36</v>
      </c>
      <c r="P623" s="191">
        <v>0</v>
      </c>
      <c r="Q623" s="165">
        <v>0</v>
      </c>
      <c r="R623">
        <v>0</v>
      </c>
      <c r="S623" s="6"/>
      <c r="T623" s="61"/>
      <c r="U623" s="61">
        <f t="shared" si="650"/>
        <v>0</v>
      </c>
      <c r="V623" s="7" t="str">
        <f t="shared" si="651"/>
        <v>NONE</v>
      </c>
      <c r="W623" s="56"/>
      <c r="X623" s="183"/>
      <c r="Y623" s="61">
        <f t="shared" si="622"/>
        <v>0</v>
      </c>
      <c r="Z623" s="61"/>
      <c r="AA623" s="1">
        <f t="shared" si="623"/>
        <v>0</v>
      </c>
      <c r="AB623" s="1">
        <f t="shared" si="652"/>
        <v>0</v>
      </c>
      <c r="AC623" s="1"/>
      <c r="AD623" s="65">
        <f t="shared" si="653"/>
        <v>0</v>
      </c>
      <c r="AE623" s="1"/>
      <c r="AF623" s="1">
        <f t="shared" si="654"/>
        <v>0</v>
      </c>
      <c r="AG623" s="1">
        <f>IF(AH623&gt;0,AH461:AH623,0)</f>
        <v>0</v>
      </c>
      <c r="AH623" s="1">
        <f t="shared" si="655"/>
        <v>0</v>
      </c>
      <c r="AJ623">
        <f t="shared" si="656"/>
        <v>0</v>
      </c>
      <c r="AK623">
        <f t="shared" si="657"/>
        <v>0</v>
      </c>
      <c r="AL623">
        <f t="shared" si="658"/>
        <v>0</v>
      </c>
      <c r="AM623">
        <f t="shared" si="659"/>
        <v>0</v>
      </c>
      <c r="AO623">
        <f t="shared" si="660"/>
        <v>0</v>
      </c>
      <c r="AP623">
        <f t="shared" si="661"/>
        <v>0</v>
      </c>
      <c r="AQ623">
        <f t="shared" si="662"/>
        <v>0</v>
      </c>
      <c r="AR623">
        <f t="shared" si="663"/>
        <v>0</v>
      </c>
    </row>
    <row r="624" spans="2:44" x14ac:dyDescent="0.25">
      <c r="B624" s="253"/>
      <c r="C624" s="248"/>
      <c r="D624" s="248"/>
      <c r="E624" s="248"/>
      <c r="F624" s="248"/>
      <c r="G624" s="248"/>
      <c r="H624" s="250"/>
      <c r="I624" s="250"/>
      <c r="J624" s="248"/>
      <c r="K624" s="248"/>
      <c r="L624" s="248"/>
      <c r="M624" s="280"/>
      <c r="N624" s="4" t="s">
        <v>36</v>
      </c>
      <c r="P624" s="191">
        <v>0</v>
      </c>
      <c r="Q624" s="165">
        <v>0</v>
      </c>
      <c r="R624">
        <v>0</v>
      </c>
      <c r="S624" s="6"/>
      <c r="T624" s="61"/>
      <c r="U624" s="61">
        <f t="shared" si="650"/>
        <v>0</v>
      </c>
      <c r="V624" s="7" t="str">
        <f t="shared" si="651"/>
        <v>NONE</v>
      </c>
      <c r="W624" s="56"/>
      <c r="X624" s="5"/>
      <c r="Y624" s="61">
        <f t="shared" si="622"/>
        <v>0</v>
      </c>
      <c r="Z624" s="61"/>
      <c r="AA624" s="1">
        <f t="shared" si="623"/>
        <v>0</v>
      </c>
      <c r="AB624" s="1">
        <f t="shared" si="652"/>
        <v>0</v>
      </c>
      <c r="AC624" s="1"/>
      <c r="AD624" s="65">
        <f t="shared" si="653"/>
        <v>0</v>
      </c>
      <c r="AE624" s="1"/>
      <c r="AF624" s="1">
        <f t="shared" si="654"/>
        <v>0</v>
      </c>
      <c r="AG624" s="1">
        <f>IF(AH624&gt;0,AH463:AH628,0)</f>
        <v>0</v>
      </c>
      <c r="AH624" s="1">
        <f t="shared" si="655"/>
        <v>0</v>
      </c>
      <c r="AJ624">
        <f t="shared" si="656"/>
        <v>0</v>
      </c>
      <c r="AK624">
        <f t="shared" si="657"/>
        <v>0</v>
      </c>
      <c r="AL624">
        <f t="shared" si="658"/>
        <v>0</v>
      </c>
      <c r="AM624">
        <f t="shared" si="659"/>
        <v>0</v>
      </c>
      <c r="AO624">
        <f t="shared" si="660"/>
        <v>0</v>
      </c>
      <c r="AP624">
        <f t="shared" si="661"/>
        <v>0</v>
      </c>
      <c r="AQ624">
        <f t="shared" si="662"/>
        <v>0</v>
      </c>
      <c r="AR624">
        <f t="shared" si="663"/>
        <v>0</v>
      </c>
    </row>
    <row r="625" spans="1:45" x14ac:dyDescent="0.25">
      <c r="B625" s="253"/>
      <c r="C625" s="253"/>
      <c r="D625" s="253"/>
      <c r="E625" s="248"/>
      <c r="F625" s="248"/>
      <c r="G625" s="248"/>
      <c r="H625" s="248"/>
      <c r="I625" s="250"/>
      <c r="J625" s="248"/>
      <c r="K625" s="248"/>
      <c r="L625" s="248"/>
      <c r="M625" s="280"/>
      <c r="N625" s="4" t="s">
        <v>36</v>
      </c>
      <c r="P625" s="191">
        <v>0</v>
      </c>
      <c r="Q625" s="165">
        <v>0</v>
      </c>
      <c r="R625">
        <v>0</v>
      </c>
      <c r="S625" s="6"/>
      <c r="T625" s="61"/>
      <c r="U625" s="61">
        <f t="shared" si="650"/>
        <v>0</v>
      </c>
      <c r="V625" s="7" t="str">
        <f t="shared" si="651"/>
        <v>NONE</v>
      </c>
      <c r="W625" s="56"/>
      <c r="X625" s="5"/>
      <c r="Y625" s="61">
        <f t="shared" si="622"/>
        <v>0</v>
      </c>
      <c r="Z625" s="61"/>
      <c r="AA625" s="1">
        <f t="shared" si="623"/>
        <v>0</v>
      </c>
      <c r="AB625" s="1">
        <f t="shared" si="652"/>
        <v>0</v>
      </c>
      <c r="AC625" s="1"/>
      <c r="AD625" s="65">
        <f t="shared" si="653"/>
        <v>0</v>
      </c>
      <c r="AE625" s="1"/>
      <c r="AF625" s="1">
        <f t="shared" si="654"/>
        <v>0</v>
      </c>
      <c r="AG625" s="1">
        <f>IF(AH625&gt;0,AH464:AH625,0)</f>
        <v>0</v>
      </c>
      <c r="AH625" s="1">
        <f t="shared" si="655"/>
        <v>0</v>
      </c>
      <c r="AJ625">
        <f t="shared" si="656"/>
        <v>0</v>
      </c>
      <c r="AK625">
        <f t="shared" si="657"/>
        <v>0</v>
      </c>
      <c r="AL625">
        <f t="shared" si="658"/>
        <v>0</v>
      </c>
      <c r="AM625">
        <f t="shared" si="659"/>
        <v>0</v>
      </c>
      <c r="AO625">
        <f t="shared" si="660"/>
        <v>0</v>
      </c>
      <c r="AP625">
        <f t="shared" si="661"/>
        <v>0</v>
      </c>
      <c r="AQ625">
        <f t="shared" si="662"/>
        <v>0</v>
      </c>
      <c r="AR625">
        <f t="shared" si="663"/>
        <v>0</v>
      </c>
    </row>
    <row r="626" spans="1:45" x14ac:dyDescent="0.25">
      <c r="B626" s="248"/>
      <c r="C626" s="248"/>
      <c r="D626" s="248"/>
      <c r="E626" s="248"/>
      <c r="F626" s="248"/>
      <c r="G626" s="248"/>
      <c r="H626" s="248"/>
      <c r="I626" s="250"/>
      <c r="J626" s="248"/>
      <c r="K626" s="248"/>
      <c r="L626" s="248"/>
      <c r="M626" s="280"/>
      <c r="N626" s="4" t="s">
        <v>36</v>
      </c>
      <c r="P626" s="191">
        <v>0</v>
      </c>
      <c r="Q626" s="165">
        <v>0</v>
      </c>
      <c r="R626">
        <v>0</v>
      </c>
      <c r="S626" s="6"/>
      <c r="T626" s="61"/>
      <c r="U626" s="61">
        <f t="shared" si="650"/>
        <v>0</v>
      </c>
      <c r="V626" s="7" t="str">
        <f t="shared" si="651"/>
        <v>NONE</v>
      </c>
      <c r="W626" s="56"/>
      <c r="X626" s="5"/>
      <c r="Y626" s="61">
        <f t="shared" si="622"/>
        <v>0</v>
      </c>
      <c r="Z626" s="61"/>
      <c r="AA626" s="1">
        <f t="shared" si="623"/>
        <v>0</v>
      </c>
      <c r="AB626" s="1">
        <f t="shared" si="652"/>
        <v>0</v>
      </c>
      <c r="AC626" s="1"/>
      <c r="AD626" s="65">
        <f t="shared" si="653"/>
        <v>0</v>
      </c>
      <c r="AE626" s="1"/>
      <c r="AF626" s="1">
        <f t="shared" si="654"/>
        <v>0</v>
      </c>
      <c r="AG626" s="1">
        <f>IF(AH626&gt;0,AH465:AH626,0)</f>
        <v>0</v>
      </c>
      <c r="AH626" s="1">
        <f t="shared" si="655"/>
        <v>0</v>
      </c>
      <c r="AJ626">
        <f t="shared" si="656"/>
        <v>0</v>
      </c>
      <c r="AK626">
        <f t="shared" si="657"/>
        <v>0</v>
      </c>
      <c r="AL626">
        <f t="shared" si="658"/>
        <v>0</v>
      </c>
      <c r="AM626">
        <f t="shared" si="659"/>
        <v>0</v>
      </c>
      <c r="AO626">
        <f t="shared" si="660"/>
        <v>0</v>
      </c>
      <c r="AP626">
        <f t="shared" si="661"/>
        <v>0</v>
      </c>
      <c r="AQ626">
        <f t="shared" si="662"/>
        <v>0</v>
      </c>
      <c r="AR626">
        <f t="shared" si="663"/>
        <v>0</v>
      </c>
    </row>
    <row r="627" spans="1:45" x14ac:dyDescent="0.25">
      <c r="B627" s="253"/>
      <c r="C627" s="248"/>
      <c r="D627" s="248"/>
      <c r="E627" s="248"/>
      <c r="F627" s="248"/>
      <c r="G627" s="248"/>
      <c r="H627" s="250"/>
      <c r="I627" s="250"/>
      <c r="J627" s="248"/>
      <c r="K627" s="248"/>
      <c r="L627" s="248"/>
      <c r="M627" s="280"/>
      <c r="N627" s="4" t="s">
        <v>36</v>
      </c>
      <c r="P627" s="191">
        <v>0</v>
      </c>
      <c r="Q627" s="165">
        <v>0</v>
      </c>
      <c r="R627">
        <v>0</v>
      </c>
      <c r="S627" s="6"/>
      <c r="T627" s="61"/>
      <c r="U627" s="61">
        <f t="shared" si="650"/>
        <v>0</v>
      </c>
      <c r="V627" s="7" t="str">
        <f t="shared" si="651"/>
        <v>NONE</v>
      </c>
      <c r="W627" s="56"/>
      <c r="X627" s="5"/>
      <c r="Y627" s="61">
        <f t="shared" si="622"/>
        <v>0</v>
      </c>
      <c r="Z627" s="61"/>
      <c r="AA627" s="1">
        <f t="shared" si="623"/>
        <v>0</v>
      </c>
      <c r="AB627" s="1">
        <f t="shared" si="652"/>
        <v>0</v>
      </c>
      <c r="AC627" s="1"/>
      <c r="AD627" s="65">
        <f t="shared" si="653"/>
        <v>0</v>
      </c>
      <c r="AE627" s="1"/>
      <c r="AF627" s="1">
        <f t="shared" si="654"/>
        <v>0</v>
      </c>
      <c r="AG627" s="1">
        <f>IF(AH627&gt;0,AH471:AH627,0)</f>
        <v>0</v>
      </c>
      <c r="AH627" s="1">
        <f t="shared" si="655"/>
        <v>0</v>
      </c>
      <c r="AJ627">
        <f t="shared" si="656"/>
        <v>0</v>
      </c>
      <c r="AK627">
        <f t="shared" si="657"/>
        <v>0</v>
      </c>
      <c r="AL627">
        <f t="shared" si="658"/>
        <v>0</v>
      </c>
      <c r="AM627">
        <f t="shared" si="659"/>
        <v>0</v>
      </c>
      <c r="AO627">
        <f t="shared" si="660"/>
        <v>0</v>
      </c>
      <c r="AP627">
        <f t="shared" si="661"/>
        <v>0</v>
      </c>
      <c r="AQ627">
        <f t="shared" si="662"/>
        <v>0</v>
      </c>
      <c r="AR627">
        <f t="shared" si="663"/>
        <v>0</v>
      </c>
    </row>
    <row r="628" spans="1:45" x14ac:dyDescent="0.25">
      <c r="B628" s="8"/>
      <c r="F628">
        <f>IF(E628=$B$12,I628,0)</f>
        <v>0</v>
      </c>
      <c r="G628">
        <f>IF(F628&gt;0,0,1)</f>
        <v>1</v>
      </c>
      <c r="I628" s="121"/>
      <c r="N628" s="4" t="s">
        <v>36</v>
      </c>
      <c r="P628" s="191">
        <v>0</v>
      </c>
      <c r="Q628" s="165">
        <v>0</v>
      </c>
      <c r="R628">
        <v>0</v>
      </c>
      <c r="S628" s="6"/>
      <c r="T628" s="61"/>
      <c r="U628" s="61">
        <f t="shared" si="650"/>
        <v>0</v>
      </c>
      <c r="V628" s="7" t="str">
        <f t="shared" si="651"/>
        <v>NONE</v>
      </c>
      <c r="W628" s="56"/>
      <c r="X628" s="5"/>
      <c r="Y628" s="61">
        <f t="shared" si="622"/>
        <v>0</v>
      </c>
      <c r="Z628" s="61"/>
      <c r="AA628" s="1">
        <f t="shared" si="623"/>
        <v>0</v>
      </c>
      <c r="AB628" s="1">
        <f t="shared" si="652"/>
        <v>0</v>
      </c>
      <c r="AC628" s="1"/>
      <c r="AD628" s="65">
        <f t="shared" si="653"/>
        <v>0</v>
      </c>
      <c r="AE628" s="1"/>
      <c r="AF628" s="1">
        <f t="shared" si="654"/>
        <v>0</v>
      </c>
      <c r="AG628" s="1">
        <f>IF(AH628&gt;0,AH472:AH628,0)</f>
        <v>0</v>
      </c>
      <c r="AH628" s="1">
        <f t="shared" si="655"/>
        <v>0</v>
      </c>
      <c r="AJ628">
        <f t="shared" si="656"/>
        <v>0</v>
      </c>
      <c r="AK628">
        <f t="shared" si="657"/>
        <v>0</v>
      </c>
      <c r="AL628">
        <f t="shared" si="658"/>
        <v>0</v>
      </c>
      <c r="AM628">
        <f t="shared" si="659"/>
        <v>0</v>
      </c>
      <c r="AO628">
        <f t="shared" si="660"/>
        <v>0</v>
      </c>
      <c r="AP628">
        <f t="shared" si="661"/>
        <v>0</v>
      </c>
      <c r="AQ628">
        <f t="shared" si="662"/>
        <v>0</v>
      </c>
      <c r="AR628">
        <f t="shared" si="663"/>
        <v>0</v>
      </c>
    </row>
    <row r="629" spans="1:45" x14ac:dyDescent="0.25">
      <c r="F629">
        <f>IF(E629=$B$12,I629,0)</f>
        <v>0</v>
      </c>
      <c r="G629">
        <f>IF(F629&gt;0,0,1)</f>
        <v>1</v>
      </c>
      <c r="I629" s="121"/>
      <c r="N629" s="4" t="s">
        <v>36</v>
      </c>
      <c r="P629" s="191">
        <v>0</v>
      </c>
      <c r="Q629" s="165">
        <v>0</v>
      </c>
      <c r="R629">
        <v>0</v>
      </c>
      <c r="S629" s="6"/>
      <c r="T629" s="61"/>
      <c r="U629" s="61">
        <f t="shared" si="650"/>
        <v>0</v>
      </c>
      <c r="V629" s="7" t="str">
        <f t="shared" si="651"/>
        <v>NONE</v>
      </c>
      <c r="W629" s="56"/>
      <c r="X629" s="5"/>
      <c r="Y629" s="61">
        <f t="shared" si="622"/>
        <v>0</v>
      </c>
      <c r="Z629" s="61"/>
      <c r="AA629" s="1">
        <f t="shared" si="623"/>
        <v>0</v>
      </c>
      <c r="AB629" s="1">
        <f t="shared" si="652"/>
        <v>0</v>
      </c>
      <c r="AC629" s="1"/>
      <c r="AD629" s="65">
        <f t="shared" si="653"/>
        <v>0</v>
      </c>
      <c r="AE629" s="1"/>
      <c r="AF629" s="1">
        <f t="shared" si="654"/>
        <v>0</v>
      </c>
      <c r="AG629" s="1">
        <f>IF(AH629&gt;0,AH471:AH629,0)</f>
        <v>0</v>
      </c>
      <c r="AH629" s="1">
        <f t="shared" si="655"/>
        <v>0</v>
      </c>
      <c r="AJ629">
        <f t="shared" si="656"/>
        <v>0</v>
      </c>
      <c r="AK629">
        <f t="shared" si="657"/>
        <v>0</v>
      </c>
      <c r="AL629">
        <f t="shared" si="658"/>
        <v>0</v>
      </c>
      <c r="AM629">
        <f t="shared" si="659"/>
        <v>0</v>
      </c>
      <c r="AO629">
        <f t="shared" si="660"/>
        <v>0</v>
      </c>
      <c r="AP629">
        <f t="shared" si="661"/>
        <v>0</v>
      </c>
      <c r="AQ629">
        <f t="shared" si="662"/>
        <v>0</v>
      </c>
      <c r="AR629">
        <f t="shared" si="663"/>
        <v>0</v>
      </c>
    </row>
    <row r="630" spans="1:45" x14ac:dyDescent="0.25">
      <c r="C630" s="8"/>
      <c r="D630" s="8"/>
      <c r="F630">
        <f>IF(E630=$B$12,I630,0)</f>
        <v>0</v>
      </c>
      <c r="G630">
        <f>IF(F630&gt;0,0,1)</f>
        <v>1</v>
      </c>
      <c r="H630" s="121"/>
      <c r="I630" s="121"/>
      <c r="N630" s="4" t="s">
        <v>36</v>
      </c>
      <c r="P630" s="191">
        <v>0</v>
      </c>
      <c r="Q630" s="165">
        <v>0</v>
      </c>
      <c r="R630">
        <v>0</v>
      </c>
      <c r="S630" s="6"/>
      <c r="T630" s="61"/>
      <c r="U630" s="61">
        <f t="shared" si="650"/>
        <v>0</v>
      </c>
      <c r="V630" s="7" t="str">
        <f t="shared" si="651"/>
        <v>NONE</v>
      </c>
      <c r="W630" s="56"/>
      <c r="X630" s="5"/>
      <c r="Y630" s="61">
        <f t="shared" si="622"/>
        <v>0</v>
      </c>
      <c r="Z630" s="61"/>
      <c r="AA630" s="1">
        <f t="shared" si="623"/>
        <v>0</v>
      </c>
      <c r="AB630" s="1">
        <f t="shared" si="652"/>
        <v>0</v>
      </c>
      <c r="AC630" s="1"/>
      <c r="AD630" s="65">
        <f t="shared" si="653"/>
        <v>0</v>
      </c>
      <c r="AE630" s="1"/>
      <c r="AF630" s="1">
        <f t="shared" si="654"/>
        <v>0</v>
      </c>
      <c r="AG630" s="1">
        <f>IF(AH630&gt;0,AH473:AH630,0)</f>
        <v>0</v>
      </c>
      <c r="AH630" s="1">
        <f t="shared" si="655"/>
        <v>0</v>
      </c>
      <c r="AJ630">
        <f t="shared" si="656"/>
        <v>0</v>
      </c>
      <c r="AK630">
        <f t="shared" si="657"/>
        <v>0</v>
      </c>
      <c r="AL630">
        <f t="shared" si="658"/>
        <v>0</v>
      </c>
      <c r="AM630">
        <f t="shared" si="659"/>
        <v>0</v>
      </c>
      <c r="AO630">
        <f t="shared" si="660"/>
        <v>0</v>
      </c>
      <c r="AP630">
        <f t="shared" si="661"/>
        <v>0</v>
      </c>
      <c r="AQ630">
        <f t="shared" si="662"/>
        <v>0</v>
      </c>
      <c r="AR630">
        <f t="shared" si="663"/>
        <v>0</v>
      </c>
    </row>
    <row r="631" spans="1:45" x14ac:dyDescent="0.25">
      <c r="B631" s="8"/>
      <c r="C631" s="8"/>
      <c r="D631" s="8"/>
      <c r="F631">
        <f>IF(E631=$B$12,I631,0)</f>
        <v>0</v>
      </c>
      <c r="G631">
        <f>IF(F631&gt;0,0,1)</f>
        <v>1</v>
      </c>
      <c r="I631" s="121"/>
      <c r="N631" s="4" t="s">
        <v>36</v>
      </c>
      <c r="P631" s="191">
        <v>0</v>
      </c>
      <c r="Q631" s="165">
        <v>0</v>
      </c>
      <c r="R631">
        <v>0</v>
      </c>
      <c r="S631" s="6"/>
      <c r="T631" s="61"/>
      <c r="U631" s="61">
        <f t="shared" si="650"/>
        <v>0</v>
      </c>
      <c r="V631" s="7" t="str">
        <f t="shared" si="651"/>
        <v>NONE</v>
      </c>
      <c r="W631" s="56"/>
      <c r="X631" s="5"/>
      <c r="Y631" s="61">
        <f t="shared" si="622"/>
        <v>0</v>
      </c>
      <c r="Z631" s="61"/>
      <c r="AA631" s="1">
        <f t="shared" si="623"/>
        <v>0</v>
      </c>
      <c r="AB631" s="1">
        <f t="shared" si="652"/>
        <v>0</v>
      </c>
      <c r="AC631" s="1"/>
      <c r="AD631" s="65">
        <f t="shared" si="653"/>
        <v>0</v>
      </c>
      <c r="AE631" s="1"/>
      <c r="AF631" s="1">
        <f t="shared" si="654"/>
        <v>0</v>
      </c>
      <c r="AG631" s="1">
        <f>IF(AH631&gt;0,AH473:AH631,0)</f>
        <v>0</v>
      </c>
      <c r="AH631" s="1">
        <f t="shared" si="655"/>
        <v>0</v>
      </c>
      <c r="AJ631">
        <f t="shared" si="656"/>
        <v>0</v>
      </c>
      <c r="AK631">
        <f t="shared" si="657"/>
        <v>0</v>
      </c>
      <c r="AL631">
        <f t="shared" si="658"/>
        <v>0</v>
      </c>
      <c r="AM631">
        <f t="shared" si="659"/>
        <v>0</v>
      </c>
      <c r="AO631">
        <f t="shared" si="660"/>
        <v>0</v>
      </c>
      <c r="AP631">
        <f t="shared" si="661"/>
        <v>0</v>
      </c>
      <c r="AQ631">
        <f t="shared" si="662"/>
        <v>0</v>
      </c>
      <c r="AR631">
        <f t="shared" si="663"/>
        <v>0</v>
      </c>
    </row>
    <row r="632" spans="1:45" x14ac:dyDescent="0.25">
      <c r="B632" s="83"/>
      <c r="F632">
        <f>IF(E632=$B$12,I632,0)</f>
        <v>0</v>
      </c>
      <c r="G632">
        <f>IF(F632&gt;0,0,1)</f>
        <v>1</v>
      </c>
      <c r="I632" s="121"/>
      <c r="N632" s="4"/>
      <c r="P632" s="191">
        <v>0</v>
      </c>
      <c r="Q632" s="165">
        <v>0</v>
      </c>
      <c r="R632">
        <v>0</v>
      </c>
      <c r="S632" s="6"/>
      <c r="T632" s="61"/>
      <c r="U632" s="61">
        <f t="shared" si="650"/>
        <v>0</v>
      </c>
      <c r="V632" s="7" t="str">
        <f t="shared" si="651"/>
        <v>NONE</v>
      </c>
      <c r="W632" s="56"/>
      <c r="X632" s="5"/>
      <c r="Y632" s="61">
        <f t="shared" si="622"/>
        <v>0</v>
      </c>
      <c r="Z632" s="61"/>
      <c r="AA632" s="1">
        <f t="shared" si="623"/>
        <v>0</v>
      </c>
      <c r="AB632" s="1">
        <f t="shared" si="652"/>
        <v>0</v>
      </c>
      <c r="AC632" s="1"/>
      <c r="AD632" s="65">
        <f t="shared" si="653"/>
        <v>0</v>
      </c>
      <c r="AE632" s="1"/>
      <c r="AF632" s="1">
        <f t="shared" si="654"/>
        <v>0</v>
      </c>
      <c r="AG632" s="1">
        <f>IF(AH632&gt;0,AH472:AH632,0)</f>
        <v>0</v>
      </c>
      <c r="AH632" s="1">
        <f t="shared" si="655"/>
        <v>0</v>
      </c>
      <c r="AJ632">
        <f t="shared" si="656"/>
        <v>0</v>
      </c>
      <c r="AK632">
        <f t="shared" si="657"/>
        <v>0</v>
      </c>
      <c r="AL632">
        <f t="shared" si="658"/>
        <v>0</v>
      </c>
      <c r="AM632">
        <f t="shared" si="659"/>
        <v>0</v>
      </c>
      <c r="AO632">
        <f t="shared" si="660"/>
        <v>0</v>
      </c>
      <c r="AP632">
        <f t="shared" si="661"/>
        <v>0</v>
      </c>
      <c r="AQ632">
        <f t="shared" si="662"/>
        <v>0</v>
      </c>
      <c r="AR632">
        <f t="shared" si="663"/>
        <v>0</v>
      </c>
    </row>
    <row r="633" spans="1:45" x14ac:dyDescent="0.25">
      <c r="A633" s="40"/>
      <c r="B633" s="155">
        <f>COUNTIFS(E591:E632,"&lt;&gt;"&amp;B145)-COUNTIFS(E591:E632,"="&amp;B144)</f>
        <v>42</v>
      </c>
      <c r="C633" s="284" t="s">
        <v>1275</v>
      </c>
      <c r="D633" s="286">
        <f>COUNTIFS(E591:E632,"=FS")</f>
        <v>0</v>
      </c>
      <c r="E633" s="155">
        <f>SUM(F591:F632)</f>
        <v>8</v>
      </c>
      <c r="F633" s="40"/>
      <c r="G633" s="40"/>
      <c r="H633" s="283" t="s">
        <v>1274</v>
      </c>
      <c r="I633" s="53">
        <f>SUM(I591:I632)-SUM(F591:F632)</f>
        <v>-1</v>
      </c>
      <c r="J633" s="53"/>
      <c r="K633" s="53">
        <f>ROUND(I633/7,0)</f>
        <v>0</v>
      </c>
      <c r="L633" s="52" t="s">
        <v>214</v>
      </c>
      <c r="M633" s="54" t="s">
        <v>216</v>
      </c>
      <c r="N633" s="123">
        <f>IF(K633&gt;0,ROUND(AG633/K633,0),0)</f>
        <v>0</v>
      </c>
      <c r="O633" s="40"/>
      <c r="P633" s="71">
        <f>SUM(P591:P632)</f>
        <v>0</v>
      </c>
      <c r="Q633" s="43"/>
      <c r="R633" s="69">
        <f>AA633</f>
        <v>0</v>
      </c>
      <c r="S633" s="68" t="s">
        <v>254</v>
      </c>
      <c r="T633" s="101"/>
      <c r="U633" s="62"/>
      <c r="V633" s="42"/>
      <c r="W633" s="42"/>
      <c r="X633" s="41"/>
      <c r="Y633" s="43"/>
      <c r="Z633" s="43">
        <f>AA633</f>
        <v>0</v>
      </c>
      <c r="AA633" s="43">
        <f>SUM(AA591:AA632)</f>
        <v>0</v>
      </c>
      <c r="AB633" s="43">
        <f>SUM(AB591:AB632)</f>
        <v>260</v>
      </c>
      <c r="AC633" s="43">
        <f>AB633</f>
        <v>260</v>
      </c>
      <c r="AD633" s="40"/>
      <c r="AE633" s="43"/>
      <c r="AF633" s="43">
        <f>SUM(AF591:AF632)</f>
        <v>0</v>
      </c>
      <c r="AG633" s="43">
        <f>SUM(AG591:AG632)</f>
        <v>0</v>
      </c>
      <c r="AH633" s="71">
        <f>SUM(AH591:AH632)</f>
        <v>-260</v>
      </c>
      <c r="AI633" s="40">
        <f>AH633</f>
        <v>-260</v>
      </c>
      <c r="AJ633" s="104">
        <f>SUM(AJ591:AJ632)</f>
        <v>0</v>
      </c>
      <c r="AK633" s="104">
        <f>SUM(AK591:AK632)</f>
        <v>0</v>
      </c>
      <c r="AL633" s="104">
        <f>SUM(AL591:AL632)</f>
        <v>0</v>
      </c>
      <c r="AM633" s="104">
        <f>SUM(AM591:AM632)</f>
        <v>0</v>
      </c>
      <c r="AN633" s="106">
        <f>SUM(AJ633:AM633)</f>
        <v>0</v>
      </c>
      <c r="AO633" s="104">
        <f>SUM(AO591:AO632)</f>
        <v>0</v>
      </c>
      <c r="AP633" s="104">
        <f>SUM(AP591:AP632)</f>
        <v>0</v>
      </c>
      <c r="AQ633" s="104">
        <f>SUM(AQ591:AQ632)</f>
        <v>0</v>
      </c>
      <c r="AR633" s="104">
        <f>SUM(AR591:AR632)</f>
        <v>0</v>
      </c>
      <c r="AS633" s="106">
        <f>SUM(AO633:AR633)</f>
        <v>0</v>
      </c>
    </row>
    <row r="634" spans="1:45" ht="21" customHeight="1" x14ac:dyDescent="0.25">
      <c r="A634" s="105"/>
      <c r="B634" s="105"/>
      <c r="C634" s="107"/>
      <c r="D634" s="107"/>
      <c r="E634" s="105"/>
      <c r="F634" s="105"/>
      <c r="G634" s="105"/>
      <c r="H634" s="108"/>
      <c r="I634" s="109"/>
      <c r="J634" s="109"/>
      <c r="K634" s="110"/>
      <c r="L634" s="110"/>
      <c r="M634" s="108"/>
      <c r="N634" s="111"/>
      <c r="O634" s="105"/>
      <c r="P634" s="112"/>
      <c r="Q634" s="113"/>
      <c r="R634" s="114"/>
      <c r="S634" s="115"/>
      <c r="T634" s="116"/>
      <c r="U634" s="117"/>
      <c r="V634" s="118"/>
      <c r="W634" s="118"/>
      <c r="X634" s="119"/>
      <c r="Y634" s="113"/>
      <c r="Z634" s="113"/>
      <c r="AA634" s="113"/>
      <c r="AB634" s="113"/>
      <c r="AC634" s="113"/>
      <c r="AD634" s="105"/>
      <c r="AE634" s="113"/>
      <c r="AF634" s="113"/>
      <c r="AG634" s="113"/>
      <c r="AH634" s="112"/>
      <c r="AI634" s="105"/>
      <c r="AJ634" s="96">
        <f>ROUNDUP(AJ317*0.05,0)</f>
        <v>0</v>
      </c>
      <c r="AK634" s="96">
        <f>ROUNDUP(AK274*0.05,0)</f>
        <v>0</v>
      </c>
      <c r="AL634" s="96">
        <f>ROUNDUP(AL274*0.05,0)</f>
        <v>0</v>
      </c>
      <c r="AM634" s="96">
        <f>ROUNDUP(AM274*0.05,0)</f>
        <v>0</v>
      </c>
      <c r="AN634" s="106">
        <f>SUM(AJ634:AM634)</f>
        <v>0</v>
      </c>
      <c r="AO634" s="96">
        <f>ROUNDUP(AO274*0.06,0)</f>
        <v>0</v>
      </c>
      <c r="AP634" s="96">
        <f>ROUNDUP(AP274*0.06,0)</f>
        <v>0</v>
      </c>
      <c r="AQ634" s="96">
        <f>ROUNDUP(AQ274*0.06,0)</f>
        <v>0</v>
      </c>
      <c r="AR634" s="96">
        <f>ROUNDUP(AR274*0.06,0)</f>
        <v>0</v>
      </c>
      <c r="AS634" s="106">
        <f>SUM(AO634:AR634)</f>
        <v>0</v>
      </c>
    </row>
    <row r="635" spans="1:45" ht="21" customHeight="1" x14ac:dyDescent="0.25">
      <c r="A635" s="105"/>
      <c r="B635" s="105"/>
      <c r="C635" s="107"/>
      <c r="D635" s="107"/>
      <c r="E635" s="105"/>
      <c r="F635" s="105"/>
      <c r="G635" s="105"/>
      <c r="H635" s="108"/>
      <c r="I635" s="109"/>
      <c r="J635" s="109"/>
      <c r="K635" s="110"/>
      <c r="L635" s="110"/>
      <c r="M635" s="108"/>
      <c r="N635" s="111"/>
      <c r="O635" s="105"/>
      <c r="P635" s="112"/>
      <c r="Q635" s="113"/>
      <c r="R635" s="114"/>
      <c r="S635" s="115"/>
      <c r="T635" s="116"/>
      <c r="U635" s="117"/>
      <c r="V635" s="118"/>
      <c r="W635" s="118"/>
      <c r="X635" s="119"/>
      <c r="Y635" s="113"/>
      <c r="Z635" s="113"/>
      <c r="AA635" s="113"/>
      <c r="AB635" s="113"/>
      <c r="AC635" s="113"/>
      <c r="AD635" s="105"/>
      <c r="AE635" s="113"/>
      <c r="AF635" s="113"/>
      <c r="AG635" s="113"/>
      <c r="AH635" s="112"/>
      <c r="AI635" s="105"/>
      <c r="AJ635" s="96"/>
      <c r="AK635" s="96"/>
      <c r="AL635" s="96"/>
      <c r="AM635" s="96"/>
      <c r="AN635" s="106"/>
      <c r="AO635" s="96"/>
      <c r="AP635" s="96"/>
      <c r="AQ635" s="96"/>
      <c r="AR635" s="96"/>
      <c r="AS635" s="106"/>
    </row>
    <row r="636" spans="1:45" x14ac:dyDescent="0.25">
      <c r="A636" s="18"/>
      <c r="B636" s="18"/>
      <c r="C636" s="19"/>
      <c r="D636" s="19"/>
      <c r="E636" s="18"/>
      <c r="F636" s="18"/>
      <c r="G636" s="18"/>
      <c r="H636" s="18"/>
      <c r="I636" s="18"/>
      <c r="J636" s="18"/>
      <c r="K636" s="18"/>
      <c r="L636" s="18"/>
      <c r="M636" s="20"/>
      <c r="N636" s="21"/>
      <c r="O636" s="18"/>
      <c r="P636" s="22"/>
      <c r="Q636" s="22"/>
      <c r="R636" s="18"/>
      <c r="S636" s="23"/>
      <c r="T636" s="63"/>
      <c r="U636" s="63"/>
      <c r="V636" s="24"/>
      <c r="W636" s="24"/>
      <c r="X636" s="20"/>
      <c r="Y636" s="22"/>
      <c r="Z636" s="22"/>
      <c r="AA636" s="22"/>
      <c r="AB636" s="22"/>
      <c r="AC636" s="22"/>
      <c r="AD636" s="18"/>
      <c r="AE636" s="22"/>
      <c r="AF636" s="22"/>
      <c r="AG636" s="22"/>
      <c r="AH636" s="22"/>
    </row>
    <row r="637" spans="1:45" x14ac:dyDescent="0.25">
      <c r="A637" s="33"/>
      <c r="B637" s="33"/>
      <c r="C637" s="34"/>
      <c r="D637" s="34"/>
      <c r="E637" s="33"/>
      <c r="F637" s="33"/>
      <c r="G637" s="33"/>
      <c r="H637" s="33"/>
      <c r="I637" s="33"/>
      <c r="J637" s="33"/>
      <c r="K637" s="33"/>
      <c r="L637" s="33"/>
      <c r="M637" s="35"/>
      <c r="N637" s="36"/>
      <c r="O637" s="33"/>
      <c r="P637" s="37"/>
      <c r="Q637" s="37"/>
      <c r="R637" s="33"/>
      <c r="S637" s="38"/>
      <c r="T637" s="64"/>
      <c r="U637" s="64"/>
      <c r="V637" s="39"/>
      <c r="W637" s="39"/>
      <c r="X637" s="35"/>
      <c r="Y637" s="37"/>
      <c r="Z637" s="37"/>
      <c r="AA637" s="37"/>
      <c r="AB637" s="37"/>
      <c r="AC637" s="37"/>
      <c r="AD637" s="33"/>
      <c r="AE637" s="37"/>
      <c r="AF637" s="37"/>
      <c r="AG637" s="37"/>
      <c r="AH637" s="37"/>
    </row>
    <row r="638" spans="1:45" x14ac:dyDescent="0.25">
      <c r="A638" s="18"/>
      <c r="B638" s="18"/>
      <c r="C638" s="19"/>
      <c r="D638" s="19"/>
      <c r="E638" s="18"/>
      <c r="F638" s="18"/>
      <c r="G638" s="18"/>
      <c r="H638" s="18"/>
      <c r="I638" s="18"/>
      <c r="J638" s="18"/>
      <c r="K638" s="18"/>
      <c r="L638" s="18"/>
      <c r="M638" s="20"/>
      <c r="N638" s="21"/>
      <c r="O638" s="18"/>
      <c r="P638" s="22"/>
      <c r="Q638" s="22"/>
      <c r="R638" s="18"/>
      <c r="S638" s="23"/>
      <c r="T638" s="63"/>
      <c r="U638" s="63"/>
      <c r="V638" s="24"/>
      <c r="W638" s="24"/>
      <c r="X638" s="20"/>
      <c r="Y638" s="22"/>
      <c r="Z638" s="22"/>
      <c r="AA638" s="22"/>
      <c r="AB638" s="22"/>
      <c r="AC638" s="22"/>
      <c r="AD638" s="18"/>
      <c r="AE638" s="22"/>
      <c r="AF638" s="22"/>
      <c r="AG638" s="22"/>
      <c r="AH638" s="22"/>
    </row>
    <row r="639" spans="1:45" ht="15.75" x14ac:dyDescent="0.25">
      <c r="C639" s="10"/>
      <c r="D639" s="10"/>
      <c r="H639" s="1" t="s">
        <v>122</v>
      </c>
      <c r="I639">
        <f>SUM(I17:I636)-(I108+I73+I34+I142+I184+I224+I273+I317)</f>
        <v>4438</v>
      </c>
      <c r="P639" s="70">
        <f>P108+P73+P34+P142+P184+P224+P273+P317+P366+P410+P452+P500+P545+P589+P633</f>
        <v>623121.96939999994</v>
      </c>
      <c r="Q639" s="50" t="s">
        <v>252</v>
      </c>
      <c r="R639" s="70">
        <f>AA639</f>
        <v>13700.038</v>
      </c>
      <c r="S639" s="72" t="s">
        <v>254</v>
      </c>
      <c r="T639" s="103"/>
      <c r="AA639">
        <f>SUM(AA17:AA636)-SUM(Z17:Z636)</f>
        <v>13700.038</v>
      </c>
      <c r="AB639" s="73">
        <f>SUM(AC17:AC634)</f>
        <v>50925</v>
      </c>
      <c r="AC639" s="73"/>
      <c r="AD639" s="73">
        <f>SUM(AD17:AD634)</f>
        <v>580703.96940000006</v>
      </c>
      <c r="AE639" s="74">
        <f>SUM(AE24:AE107)</f>
        <v>0</v>
      </c>
      <c r="AF639" s="73">
        <f>AF184+AF142+AF108+AF73+AF34+AF224+AF273+AF317</f>
        <v>5130</v>
      </c>
      <c r="AH639" s="70">
        <f>SUM(AI17:AI638)</f>
        <v>573503.96939999994</v>
      </c>
    </row>
    <row r="640" spans="1:45" x14ac:dyDescent="0.25">
      <c r="M640"/>
      <c r="AF640" s="66"/>
    </row>
    <row r="641" spans="2:44" x14ac:dyDescent="0.25">
      <c r="H641" s="1" t="s">
        <v>121</v>
      </c>
      <c r="I641">
        <f>I639/7</f>
        <v>634</v>
      </c>
    </row>
    <row r="642" spans="2:44" x14ac:dyDescent="0.25">
      <c r="AF642" s="66"/>
    </row>
    <row r="643" spans="2:44" x14ac:dyDescent="0.25">
      <c r="H643" s="1" t="s">
        <v>129</v>
      </c>
      <c r="I643">
        <f>SUM(F17:F636)</f>
        <v>1052</v>
      </c>
    </row>
    <row r="644" spans="2:44" x14ac:dyDescent="0.25">
      <c r="H644" s="1" t="s">
        <v>130</v>
      </c>
      <c r="I644">
        <f>I643/7</f>
        <v>150.28571428571428</v>
      </c>
    </row>
    <row r="646" spans="2:44" x14ac:dyDescent="0.25">
      <c r="H646" s="1" t="s">
        <v>131</v>
      </c>
      <c r="I646">
        <f>I639-I643</f>
        <v>3386</v>
      </c>
      <c r="U646" s="65"/>
    </row>
    <row r="647" spans="2:44" x14ac:dyDescent="0.25">
      <c r="H647" s="1" t="s">
        <v>132</v>
      </c>
      <c r="I647">
        <f>I641-I644</f>
        <v>483.71428571428572</v>
      </c>
    </row>
    <row r="648" spans="2:44" x14ac:dyDescent="0.25">
      <c r="H648" s="1" t="s">
        <v>134</v>
      </c>
      <c r="I648" s="66">
        <f>AH639/I647</f>
        <v>1185.6254535735379</v>
      </c>
    </row>
    <row r="649" spans="2:44" ht="15.75" x14ac:dyDescent="0.25">
      <c r="C649" s="10"/>
      <c r="D649" s="10"/>
    </row>
    <row r="650" spans="2:44" x14ac:dyDescent="0.25">
      <c r="B650" s="75" t="s">
        <v>224</v>
      </c>
      <c r="C650" s="26"/>
      <c r="D650" s="26"/>
      <c r="E650" s="27"/>
      <c r="F650" s="27">
        <f>IF(E650=$B$12,I650,0)</f>
        <v>0</v>
      </c>
      <c r="G650" s="27">
        <f>IF(F650&gt;0,0,1)</f>
        <v>1</v>
      </c>
      <c r="H650" s="27"/>
      <c r="I650" s="27"/>
      <c r="J650" s="27"/>
      <c r="K650" s="27"/>
      <c r="L650" s="27"/>
      <c r="M650" s="28"/>
      <c r="N650" s="29"/>
      <c r="O650" s="27"/>
      <c r="P650" s="30"/>
      <c r="Q650" s="30">
        <f>ROUND((P650*0.4),0)</f>
        <v>0</v>
      </c>
      <c r="R650" s="27">
        <f>IF(P650&gt;0,((P650+500)-Q650)+U650,0)</f>
        <v>0</v>
      </c>
      <c r="S650" s="31"/>
      <c r="T650" s="60"/>
      <c r="U650" s="60">
        <f>IF(V650=$AE$2,47,IF(V650=$AE$1,ROUND(((P650+500)*0.039),0),IF(V650=$AE$3,0)))</f>
        <v>0</v>
      </c>
      <c r="V650" s="76" t="str">
        <f>IF(W650=1,$AE$2,IF(W650=2,$AE$1,IF(AND(W650&lt;&gt;1,W650&lt;&gt;20)=TRUE,$AE$3)))</f>
        <v>NONE</v>
      </c>
      <c r="W650" s="59"/>
      <c r="X650" s="28"/>
      <c r="Y650" s="60">
        <f>R650+Q650</f>
        <v>0</v>
      </c>
      <c r="Z650" s="60"/>
      <c r="AA650" s="30">
        <f>IF(X650=$AA$1,R650-500,0)</f>
        <v>0</v>
      </c>
      <c r="AB650" s="30">
        <f>IF(I650&gt;0,130,0)</f>
        <v>0</v>
      </c>
      <c r="AC650" s="30"/>
      <c r="AD650" s="77">
        <f>(P650+U650)-AB650</f>
        <v>0</v>
      </c>
      <c r="AE650" s="30"/>
      <c r="AF650" s="30">
        <f>IF(I650&gt;0,30*G650,0)</f>
        <v>0</v>
      </c>
      <c r="AG650" s="30">
        <f>IF(AH650&gt;0,AH108:AH650,0)</f>
        <v>0</v>
      </c>
      <c r="AH650" s="30">
        <f>AD650-AF650</f>
        <v>0</v>
      </c>
      <c r="AJ650">
        <f>IF(T650=1,P650-U650,0)</f>
        <v>0</v>
      </c>
      <c r="AK650">
        <f>IF(T650=2,P650-U650,0)</f>
        <v>0</v>
      </c>
      <c r="AL650">
        <f>IF(T650=3,P650-U650,0)</f>
        <v>0</v>
      </c>
      <c r="AM650">
        <f>IF(T650=4,P650-U650,0)</f>
        <v>0</v>
      </c>
      <c r="AO650">
        <f>IF(T650=1,P650-U650,0)</f>
        <v>0</v>
      </c>
      <c r="AP650">
        <f>IF(T650=2,P650-U650,0)</f>
        <v>0</v>
      </c>
      <c r="AQ650">
        <f>IF(T650=3,P650-U650,0)</f>
        <v>0</v>
      </c>
      <c r="AR650">
        <f>IF(T650=4,P650-U650,0)</f>
        <v>0</v>
      </c>
    </row>
    <row r="651" spans="2:44" ht="17.25" x14ac:dyDescent="0.3">
      <c r="B651" s="13"/>
      <c r="C651" s="9"/>
      <c r="D651" s="9"/>
      <c r="H651" s="10"/>
      <c r="I651" s="10"/>
      <c r="J651" s="10"/>
    </row>
    <row r="652" spans="2:44" ht="17.25" x14ac:dyDescent="0.3">
      <c r="B652" s="12"/>
      <c r="C652" s="12"/>
      <c r="D652" s="12"/>
      <c r="H652" s="10"/>
      <c r="I652" s="10"/>
      <c r="J652" s="10"/>
    </row>
    <row r="653" spans="2:44" ht="17.25" x14ac:dyDescent="0.3">
      <c r="B653" s="14"/>
      <c r="C653" s="12"/>
      <c r="D653" s="12"/>
      <c r="M653" s="50" t="s">
        <v>253</v>
      </c>
    </row>
    <row r="654" spans="2:44" ht="17.25" x14ac:dyDescent="0.3">
      <c r="B654" s="12"/>
      <c r="C654" s="12"/>
      <c r="D654" s="12"/>
    </row>
    <row r="655" spans="2:44" x14ac:dyDescent="0.25">
      <c r="B655" s="14"/>
      <c r="C655" s="14"/>
      <c r="D655" s="14"/>
      <c r="AD655" s="78"/>
    </row>
    <row r="656" spans="2:44" x14ac:dyDescent="0.25">
      <c r="B656" s="14"/>
      <c r="C656" s="144"/>
      <c r="D656" s="144"/>
      <c r="AD656" s="80"/>
    </row>
    <row r="657" spans="2:44" x14ac:dyDescent="0.25">
      <c r="B657" s="98"/>
      <c r="H657" s="51"/>
      <c r="I657" s="8"/>
      <c r="J657" s="48"/>
      <c r="L657" s="51"/>
      <c r="M657" s="51"/>
      <c r="N657" s="4"/>
      <c r="P657" s="124"/>
      <c r="AD657" s="80"/>
    </row>
    <row r="658" spans="2:44" x14ac:dyDescent="0.25">
      <c r="B658" s="75" t="s">
        <v>224</v>
      </c>
      <c r="C658" s="26"/>
      <c r="D658" s="26"/>
      <c r="E658" s="27"/>
      <c r="F658" s="27">
        <f>IF(E658=$B$12,I658,0)</f>
        <v>0</v>
      </c>
      <c r="G658" s="27">
        <f>IF(F658&gt;0,0,1)</f>
        <v>1</v>
      </c>
      <c r="H658" s="27"/>
      <c r="I658" s="27"/>
      <c r="J658" s="27"/>
      <c r="K658" s="27"/>
      <c r="L658" s="27"/>
      <c r="M658" s="28"/>
      <c r="N658" s="29"/>
      <c r="O658" s="27"/>
      <c r="P658" s="30">
        <v>0</v>
      </c>
      <c r="Q658" s="30">
        <f>ROUND((P658*0.4),0)</f>
        <v>0</v>
      </c>
      <c r="R658" s="27">
        <f>IF(P658&gt;0,((P658+500)-Q658)+U658,0)</f>
        <v>0</v>
      </c>
      <c r="S658" s="31"/>
      <c r="T658" s="60"/>
      <c r="U658" s="60">
        <f>IF(V658=$AE$2,47,IF(V658=$AE$1,ROUND(((P658+500)*0.039),0),IF(V658=$AE$3,0)))</f>
        <v>0</v>
      </c>
      <c r="V658" s="76" t="str">
        <f>IF(W658=1,$AE$2,IF(W658=2,$AE$1,IF(AND(W658&lt;&gt;1,W658&lt;&gt;20)=TRUE,$AE$3)))</f>
        <v>NONE</v>
      </c>
      <c r="W658" s="59"/>
      <c r="X658" s="28"/>
      <c r="Y658" s="60">
        <f>R658+Q658</f>
        <v>0</v>
      </c>
      <c r="Z658" s="60"/>
      <c r="AA658" s="30">
        <f>IF(X658=$AA$1,R658-500,0)</f>
        <v>0</v>
      </c>
      <c r="AB658" s="30">
        <f>IF(I658&gt;0,130,0)</f>
        <v>0</v>
      </c>
      <c r="AC658" s="30"/>
      <c r="AD658" s="77">
        <f>(P658+U658)-AB658</f>
        <v>0</v>
      </c>
      <c r="AE658" s="30"/>
      <c r="AF658" s="30">
        <f>IF(I658&gt;0,30*G658,0)</f>
        <v>0</v>
      </c>
      <c r="AG658" s="30">
        <f>IF(AH658&gt;0,AH116:AH658,0)</f>
        <v>0</v>
      </c>
      <c r="AH658" s="30">
        <f>AD658-AF658</f>
        <v>0</v>
      </c>
      <c r="AJ658">
        <f>IF(T658=1,P658-U658,0)</f>
        <v>0</v>
      </c>
      <c r="AK658">
        <f>IF(T658=2,P658-U658,0)</f>
        <v>0</v>
      </c>
      <c r="AL658">
        <f>IF(T658=3,P658-U658,0)</f>
        <v>0</v>
      </c>
      <c r="AM658">
        <f>IF(T658=4,P658-U658,0)</f>
        <v>0</v>
      </c>
      <c r="AO658">
        <f>IF(T658=1,P658-U658,0)</f>
        <v>0</v>
      </c>
      <c r="AP658">
        <f>IF(T658=2,P658-U658,0)</f>
        <v>0</v>
      </c>
      <c r="AQ658">
        <f>IF(T658=3,P658-U658,0)</f>
        <v>0</v>
      </c>
      <c r="AR658">
        <f>IF(T658=4,P658-U658,0)</f>
        <v>0</v>
      </c>
    </row>
    <row r="664" spans="2:44" x14ac:dyDescent="0.25">
      <c r="B664" s="92"/>
      <c r="C664" s="161"/>
      <c r="D664" s="161"/>
    </row>
    <row r="665" spans="2:44" x14ac:dyDescent="0.25">
      <c r="B665" s="8"/>
      <c r="H665" s="121"/>
      <c r="I665" s="8"/>
      <c r="N665" s="4"/>
      <c r="P665" s="1"/>
      <c r="Q665" s="1"/>
      <c r="T665" s="61"/>
      <c r="U665" s="61"/>
      <c r="V665" s="7"/>
      <c r="W665" s="56"/>
      <c r="X665" s="5"/>
      <c r="Y665" s="61"/>
      <c r="Z665" s="61"/>
      <c r="AA665" s="1"/>
      <c r="AB665" s="1"/>
      <c r="AC665" s="1"/>
      <c r="AD665" s="65"/>
      <c r="AE665" s="1"/>
      <c r="AF665" s="1"/>
      <c r="AG665" s="1"/>
      <c r="AH665" s="1"/>
    </row>
    <row r="666" spans="2:44" ht="18.600000000000001" customHeight="1" x14ac:dyDescent="0.35">
      <c r="B666" s="169"/>
      <c r="C666" s="170"/>
      <c r="D666" s="170"/>
      <c r="E666" s="170"/>
      <c r="F666" s="170"/>
      <c r="G666" s="170"/>
      <c r="H666" s="170"/>
    </row>
    <row r="668" spans="2:44" x14ac:dyDescent="0.25">
      <c r="B668" s="120"/>
      <c r="H668" s="121"/>
      <c r="I668" s="8"/>
      <c r="N668" s="4"/>
      <c r="P668" s="1"/>
      <c r="Q668" s="1"/>
      <c r="S668" s="6"/>
      <c r="T668" s="61"/>
      <c r="U668" s="61"/>
      <c r="V668" s="7"/>
      <c r="W668" s="56"/>
      <c r="X668" s="87"/>
      <c r="Y668" s="61"/>
      <c r="Z668" s="61"/>
      <c r="AA668" s="1"/>
      <c r="AB668" s="1"/>
      <c r="AC668" s="1"/>
      <c r="AD668" s="65"/>
      <c r="AE668" s="1"/>
      <c r="AF668" s="1"/>
      <c r="AG668" s="1"/>
      <c r="AH668" s="1"/>
    </row>
    <row r="672" spans="2:44" x14ac:dyDescent="0.25">
      <c r="B672" s="92"/>
    </row>
  </sheetData>
  <phoneticPr fontId="21" type="noConversion"/>
  <hyperlinks>
    <hyperlink ref="M286" r:id="rId1" display="tel:%28260%29 515-5934" xr:uid="{00000000-0004-0000-0000-000000000000}"/>
    <hyperlink ref="C308" r:id="rId2" display="vito.lenoci@lenocifragrancegroup.com" xr:uid="{00000000-0004-0000-0000-000001000000}"/>
    <hyperlink ref="C373" r:id="rId3" xr:uid="{00000000-0004-0000-0000-000002000000}"/>
    <hyperlink ref="C305" r:id="rId4" xr:uid="{00000000-0004-0000-0000-000003000000}"/>
    <hyperlink ref="C306" r:id="rId5" xr:uid="{00000000-0004-0000-0000-000004000000}"/>
    <hyperlink ref="C307" r:id="rId6" xr:uid="{00000000-0004-0000-0000-000005000000}"/>
    <hyperlink ref="C322" r:id="rId7" xr:uid="{00000000-0004-0000-0000-000006000000}"/>
    <hyperlink ref="C328" r:id="rId8" xr:uid="{00000000-0004-0000-0000-000007000000}"/>
    <hyperlink ref="C329" r:id="rId9" display="chrisjjacks@gmail.com" xr:uid="{00000000-0004-0000-0000-000008000000}"/>
    <hyperlink ref="C319" r:id="rId10" xr:uid="{00000000-0004-0000-0000-000009000000}"/>
    <hyperlink ref="B339" r:id="rId11" display="https://www.homeaway.com/traveler/profiles/a2a79964-6580-4dd7-b737-e5244aa5596f" xr:uid="{00000000-0004-0000-0000-00000A000000}"/>
    <hyperlink ref="C339" r:id="rId12" xr:uid="{00000000-0004-0000-0000-00000B000000}"/>
    <hyperlink ref="C331" r:id="rId13" xr:uid="{00000000-0004-0000-0000-00000C000000}"/>
    <hyperlink ref="C320" r:id="rId14" xr:uid="{00000000-0004-0000-0000-00000D000000}"/>
    <hyperlink ref="C330" r:id="rId15" xr:uid="{00000000-0004-0000-0000-00000E000000}"/>
    <hyperlink ref="C334" r:id="rId16" xr:uid="{00000000-0004-0000-0000-00000F000000}"/>
    <hyperlink ref="C326" r:id="rId17" xr:uid="{00000000-0004-0000-0000-000010000000}"/>
    <hyperlink ref="C327" r:id="rId18" display="kristin.kemezys@gmail.com  603 718 1232" xr:uid="{00000000-0004-0000-0000-000011000000}"/>
    <hyperlink ref="C341" r:id="rId19" xr:uid="{00000000-0004-0000-0000-000012000000}"/>
    <hyperlink ref="C349" r:id="rId20" xr:uid="{00000000-0004-0000-0000-000013000000}"/>
    <hyperlink ref="C378" r:id="rId21" xr:uid="{00000000-0004-0000-0000-000014000000}"/>
    <hyperlink ref="C345" r:id="rId22" xr:uid="{00000000-0004-0000-0000-000015000000}"/>
    <hyperlink ref="C346" r:id="rId23" xr:uid="{00000000-0004-0000-0000-000016000000}"/>
    <hyperlink ref="C376" r:id="rId24" xr:uid="{00000000-0004-0000-0000-000017000000}"/>
    <hyperlink ref="B369" r:id="rId25" display="https://www.homeaway.com/traveler/profiles/b3ca31b9-7cef-4833-b432-36e66c19edae" xr:uid="{00000000-0004-0000-0000-000018000000}"/>
    <hyperlink ref="C352" r:id="rId26" xr:uid="{00000000-0004-0000-0000-000019000000}"/>
    <hyperlink ref="X358" r:id="rId27" display="A/D/F1/F@" xr:uid="{00000000-0004-0000-0000-00001A000000}"/>
    <hyperlink ref="C358" r:id="rId28" xr:uid="{00000000-0004-0000-0000-00001B000000}"/>
    <hyperlink ref="C372" r:id="rId29" xr:uid="{00000000-0004-0000-0000-00001C000000}"/>
    <hyperlink ref="C386" r:id="rId30" xr:uid="{00000000-0004-0000-0000-00001D000000}"/>
    <hyperlink ref="C377" r:id="rId31" xr:uid="{00000000-0004-0000-0000-00001E000000}"/>
    <hyperlink ref="C364" r:id="rId32" xr:uid="{00000000-0004-0000-0000-00001F000000}"/>
    <hyperlink ref="C375" r:id="rId33" xr:uid="{00000000-0004-0000-0000-000020000000}"/>
    <hyperlink ref="C381" r:id="rId34" xr:uid="{00000000-0004-0000-0000-000021000000}"/>
    <hyperlink ref="C369" r:id="rId35" xr:uid="{00000000-0004-0000-0000-000022000000}"/>
    <hyperlink ref="C406" r:id="rId36" xr:uid="{00000000-0004-0000-0000-000023000000}"/>
    <hyperlink ref="C401" r:id="rId37" xr:uid="{00000000-0004-0000-0000-000024000000}"/>
    <hyperlink ref="C394" r:id="rId38" xr:uid="{00000000-0004-0000-0000-000025000000}"/>
    <hyperlink ref="C393" r:id="rId39" xr:uid="{00000000-0004-0000-0000-000026000000}"/>
    <hyperlink ref="C398" r:id="rId40" xr:uid="{00000000-0004-0000-0000-000027000000}"/>
    <hyperlink ref="C379" r:id="rId41" xr:uid="{00000000-0004-0000-0000-000028000000}"/>
    <hyperlink ref="C415" r:id="rId42" xr:uid="{00000000-0004-0000-0000-000029000000}"/>
    <hyperlink ref="C408" r:id="rId43" xr:uid="{00000000-0004-0000-0000-00002A000000}"/>
    <hyperlink ref="C420" r:id="rId44" xr:uid="{00000000-0004-0000-0000-00002B000000}"/>
    <hyperlink ref="C438" r:id="rId45" xr:uid="{00000000-0004-0000-0000-00002C000000}"/>
    <hyperlink ref="C430" r:id="rId46" xr:uid="{00000000-0004-0000-0000-00002D000000}"/>
    <hyperlink ref="C437" r:id="rId47" xr:uid="{00000000-0004-0000-0000-00002E000000}"/>
    <hyperlink ref="C444" r:id="rId48" xr:uid="{00000000-0004-0000-0000-00002F000000}"/>
    <hyperlink ref="C510" r:id="rId49" display="clairequinn79@gmail.com" xr:uid="{FF49033A-1B30-46BB-8663-776371A4331B}"/>
    <hyperlink ref="C489" r:id="rId50" xr:uid="{516DC83F-AB25-4351-B89E-FAFB34A20654}"/>
    <hyperlink ref="C488" r:id="rId51" xr:uid="{3C94240D-F83E-4D00-AB20-A67ECECBFBD0}"/>
    <hyperlink ref="C513" r:id="rId52" xr:uid="{3BFC309F-A746-4A0B-BE72-8372CE0152EB}"/>
    <hyperlink ref="C514" r:id="rId53" xr:uid="{6FE823CF-6136-4CD5-805B-D7EC96523BF3}"/>
    <hyperlink ref="C516" r:id="rId54" xr:uid="{17FDB647-72B3-46A0-91D2-74B352AC3660}"/>
  </hyperlinks>
  <pageMargins left="0.7" right="0.7" top="0.75" bottom="0.75" header="0.3" footer="0.3"/>
  <pageSetup orientation="portrait" r:id="rId55"/>
  <ignoredErrors>
    <ignoredError sqref="S44:S45 S30 S42 S39 S21:S27 S63 S48:S51 S37 S84 S58:S59 S54:S56 S76:S79 S65 S61 S86:S87 S91 S104 S94 S146:S147 S151 S158:S169 S172 S232:S233 S191:S208 S240 S217:S222 S210:S215 S238" twoDigitTextYear="1"/>
    <ignoredError sqref="Q45 R51 R46 R48 Y57:Y58 AD47 AD58 AD57 U78 U60 U64 R78 U47 U55 AD55 R55 R65 AN34:AN35 R146" formula="1"/>
    <ignoredError sqref="G16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 Dos Santos</cp:lastModifiedBy>
  <dcterms:created xsi:type="dcterms:W3CDTF">2010-06-05T09:28:51Z</dcterms:created>
  <dcterms:modified xsi:type="dcterms:W3CDTF">2022-07-27T16:13:26Z</dcterms:modified>
</cp:coreProperties>
</file>